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Schedule" sheetId="2" state="visible" r:id="rId2"/>
    <sheet name="Rooms" sheetId="3" state="visible" r:id="rId3"/>
    <sheet name="Suppliers" sheetId="4" state="visible" r:id="rId4"/>
    <sheet name="Lists" sheetId="5" state="visible" r:id="rId5"/>
  </sheets>
  <definedNames>
    <definedName name="DefaultBuffer">Lists!$K$4</definedName>
    <definedName name="DefaultApproval">Lists!$K$5</definedName>
    <definedName name="NudgeDays">Lists!$K$6</definedName>
    <definedName name="StatusList">Lists!$A$4:$A$13</definedName>
    <definedName name="OrderedStatuses">Lists!$C$4:$C$8</definedName>
    <definedName name="FX_Code">Lists!$E$4:$E$13</definedName>
    <definedName name="FX_Rate">Lists!$F$4:$F$13</definedName>
    <definedName name="VATRates">Lists!$H$4:$H$8</definedName>
    <definedName name="Sched_Ref">Schedule!$A$6:$A$205</definedName>
    <definedName name="Sched_Room">Schedule!$B$6:$B$205</definedName>
    <definedName name="Sched_Item">Schedule!$C$6:$C$205</definedName>
    <definedName name="Sched_Supplier">Schedule!$E$6:$E$205</definedName>
    <definedName name="Sched_Qty">Schedule!$G$6:$G$205</definedName>
    <definedName name="Sched_UnitCost">Schedule!$H$6:$H$205</definedName>
    <definedName name="Sched_Currency">Schedule!$I$6:$I$205</definedName>
    <definedName name="Sched_UnitGBP">Schedule!$J$6:$J$205</definedName>
    <definedName name="Sched_LineGBP">Schedule!$K$6:$K$205</definedName>
    <definedName name="Sched_VAT">Schedule!$L$6:$L$205</definedName>
    <definedName name="Sched_Lead">Schedule!$M$6:$M$205</definedName>
    <definedName name="Sched_Install">Schedule!$N$6:$N$205</definedName>
    <definedName name="Sched_OrderBy">Schedule!$Q$6:$Q$205</definedName>
    <definedName name="Sched_DaysLeft">Schedule!$R$6:$R$205</definedName>
    <definedName name="Sched_Risk">Schedule!$S$6:$S$205</definedName>
    <definedName name="Sched_Status">Schedule!$T$6:$T$205</definedName>
    <definedName name="Schedule_Table">Schedule!$A$5:$W$205</definedName>
    <definedName name="RoomList">Rooms!$A$5:$A$34</definedName>
    <definedName name="SupplierList">Suppliers!$A$5:$A$44</definedName>
    <definedName name="_xlnm._FilterDatabase" localSheetId="1" hidden="1">'Schedule'!$A$5:$W$205</definedName>
    <definedName name="_xlnm.Print_Titles" localSheetId="1">'Schedule'!$5:$5</definedName>
    <definedName name="_xlnm.Print_Area" localSheetId="1">'Schedule'!$A$1:$W$205</definedName>
    <definedName name="_xlnm.Print_Area" localSheetId="2">'Rooms'!$A$1:$J$38</definedName>
    <definedName name="_xlnm.Print_Area" localSheetId="3">'Suppliers'!$A$1:$N$48</definedName>
  </definedNames>
  <calcPr calcId="124519" fullCalcOnLoad="1"/>
</workbook>
</file>

<file path=xl/styles.xml><?xml version="1.0" encoding="utf-8"?>
<styleSheet xmlns="http://schemas.openxmlformats.org/spreadsheetml/2006/main">
  <numFmts count="7">
    <numFmt numFmtId="164" formatCode="0.0000"/>
    <numFmt numFmtId="165" formatCode="dd mmm yyyy"/>
    <numFmt numFmtId="166" formatCode="£#,##0.00;-£#,##0.00;;@"/>
    <numFmt numFmtId="167" formatCode="#,##0.##"/>
    <numFmt numFmtId="168" formatCode="#,##0.00;-#,##0.00;;@"/>
    <numFmt numFmtId="169" formatCode="0.#"/>
    <numFmt numFmtId="170" formatCode="0;-0;0"/>
  </numFmts>
  <fonts count="18">
    <font>
      <name val="Calibri"/>
      <family val="2"/>
      <color theme="1"/>
      <sz val="11"/>
      <scheme val="minor"/>
    </font>
    <font>
      <name val="Calibri"/>
      <b val="1"/>
      <color rgb="001F1D1A"/>
      <sz val="18"/>
    </font>
    <font>
      <name val="Calibri"/>
      <color rgb="006B655C"/>
      <sz val="9"/>
    </font>
    <font>
      <name val="Calibri"/>
      <b val="1"/>
      <color rgb="00FAF7F2"/>
      <sz val="10"/>
    </font>
    <font>
      <name val="Calibri"/>
      <color rgb="004A4640"/>
      <sz val="10"/>
    </font>
    <font>
      <name val="Calibri"/>
      <color rgb="001F1D1A"/>
      <sz val="10"/>
    </font>
    <font>
      <name val="Calibri"/>
      <i val="1"/>
      <color rgb="00A0282E"/>
      <sz val="9"/>
    </font>
    <font>
      <name val="Calibri"/>
      <b val="1"/>
      <color rgb="001F1D1A"/>
      <sz val="11"/>
    </font>
    <font>
      <name val="Calibri"/>
      <b val="1"/>
      <color rgb="007A6538"/>
      <sz val="9"/>
    </font>
    <font>
      <name val="Calibri"/>
      <b val="1"/>
      <color rgb="00A0282E"/>
      <sz val="11"/>
    </font>
    <font>
      <name val="Calibri"/>
      <b val="1"/>
      <color rgb="008A5A00"/>
      <sz val="11"/>
    </font>
    <font>
      <name val="Calibri"/>
      <b val="1"/>
      <color rgb="003F6B4A"/>
      <sz val="11"/>
    </font>
    <font>
      <name val="Calibri"/>
      <b val="1"/>
      <color rgb="001F1D1A"/>
      <sz val="10"/>
    </font>
    <font>
      <name val="Calibri"/>
      <b val="1"/>
      <color rgb="001F1D1A"/>
      <sz val="12"/>
    </font>
    <font>
      <name val="Calibri"/>
      <b val="1"/>
      <color rgb="00A0282E"/>
      <sz val="10"/>
    </font>
    <font>
      <name val="Calibri"/>
      <b val="1"/>
      <color rgb="008A5A00"/>
      <sz val="10"/>
    </font>
    <font>
      <name val="Calibri"/>
      <b val="1"/>
      <color rgb="003F6B4A"/>
      <sz val="10"/>
    </font>
    <font>
      <name val="Calibri"/>
      <b val="1"/>
      <color rgb="004A4640"/>
      <sz val="10"/>
    </font>
  </fonts>
  <fills count="11">
    <fill>
      <patternFill/>
    </fill>
    <fill>
      <patternFill patternType="gray125"/>
    </fill>
    <fill>
      <patternFill patternType="solid">
        <fgColor rgb="00FAF7F2"/>
        <bgColor rgb="00FAF7F2"/>
      </patternFill>
    </fill>
    <fill>
      <patternFill patternType="solid">
        <fgColor rgb="001F1D1A"/>
        <bgColor rgb="001F1D1A"/>
      </patternFill>
    </fill>
    <fill>
      <patternFill patternType="solid">
        <fgColor rgb="00F1ECE3"/>
        <bgColor rgb="00F1ECE3"/>
      </patternFill>
    </fill>
    <fill>
      <patternFill patternType="solid">
        <fgColor rgb="00FFFFFF"/>
        <bgColor rgb="00FFFFFF"/>
      </patternFill>
    </fill>
    <fill>
      <patternFill patternType="solid">
        <fgColor rgb="007A6538"/>
        <bgColor rgb="007A6538"/>
      </patternFill>
    </fill>
    <fill>
      <patternFill patternType="solid">
        <fgColor rgb="00E9DFC8"/>
        <bgColor rgb="00E9DFC8"/>
      </patternFill>
    </fill>
    <fill>
      <patternFill patternType="solid">
        <fgColor rgb="00F7DFE0"/>
        <bgColor rgb="00F7DFE0"/>
      </patternFill>
    </fill>
    <fill>
      <patternFill patternType="solid">
        <fgColor rgb="00FBEFD5"/>
        <bgColor rgb="00FBEFD5"/>
      </patternFill>
    </fill>
    <fill>
      <patternFill patternType="solid">
        <fgColor rgb="00E3EEE5"/>
        <bgColor rgb="00E3EEE5"/>
      </patternFill>
    </fill>
  </fills>
  <borders count="5">
    <border>
      <left/>
      <right/>
      <top/>
      <bottom/>
      <diagonal/>
    </border>
    <border>
      <bottom style="thin">
        <color rgb="00E2DCD0"/>
      </bottom>
    </border>
    <border>
      <bottom style="medium">
        <color rgb="007A6538"/>
      </bottom>
    </border>
    <border>
      <top style="medium">
        <color rgb="007A6538"/>
      </top>
    </border>
    <border>
      <left style="thin">
        <color rgb="00E2DCD0"/>
      </left>
      <right style="thin">
        <color rgb="00E2DCD0"/>
      </right>
      <top style="thin">
        <color rgb="00E2DCD0"/>
      </top>
      <bottom style="thin">
        <color rgb="00E2DCD0"/>
      </bottom>
    </border>
  </borders>
  <cellStyleXfs count="1">
    <xf numFmtId="0" fontId="0" fillId="0" borderId="0"/>
  </cellStyleXfs>
  <cellXfs count="64">
    <xf numFmtId="0" fontId="0" fillId="0" borderId="0" pivotButton="0" quotePrefix="0" xfId="0"/>
    <xf numFmtId="0" fontId="0" fillId="2" borderId="0" pivotButton="0" quotePrefix="0" xfId="0"/>
    <xf numFmtId="0" fontId="8" fillId="2" borderId="0" applyAlignment="1" pivotButton="0" quotePrefix="0" xfId="0">
      <alignment vertical="top" wrapText="1"/>
    </xf>
    <xf numFmtId="0" fontId="1" fillId="2" borderId="0" applyAlignment="1" pivotButton="0" quotePrefix="0" xfId="0">
      <alignment vertical="top" wrapText="1"/>
    </xf>
    <xf numFmtId="0" fontId="2" fillId="2" borderId="0" applyAlignment="1" pivotButton="0" quotePrefix="0" xfId="0">
      <alignment vertical="top" wrapText="1"/>
    </xf>
    <xf numFmtId="0" fontId="13" fillId="2" borderId="2" applyAlignment="1" pivotButton="0" quotePrefix="0" xfId="0">
      <alignment vertical="top" wrapText="1"/>
    </xf>
    <xf numFmtId="0" fontId="0" fillId="2" borderId="2" pivotButton="0" quotePrefix="0" xfId="0"/>
    <xf numFmtId="0" fontId="12" fillId="2" borderId="0" applyAlignment="1" pivotButton="0" quotePrefix="0" xfId="0">
      <alignment vertical="top" wrapText="1"/>
    </xf>
    <xf numFmtId="0" fontId="5" fillId="2" borderId="0" applyAlignment="1" pivotButton="0" quotePrefix="0" xfId="0">
      <alignment vertical="top" wrapText="1"/>
    </xf>
    <xf numFmtId="0" fontId="14" fillId="8" borderId="4" pivotButton="0" quotePrefix="0" xfId="0"/>
    <xf numFmtId="0" fontId="5" fillId="2" borderId="0" pivotButton="0" quotePrefix="0" xfId="0"/>
    <xf numFmtId="0" fontId="15" fillId="9" borderId="4" pivotButton="0" quotePrefix="0" xfId="0"/>
    <xf numFmtId="0" fontId="16" fillId="10" borderId="4" pivotButton="0" quotePrefix="0" xfId="0"/>
    <xf numFmtId="0" fontId="12" fillId="5" borderId="4" pivotButton="0" quotePrefix="0" xfId="0"/>
    <xf numFmtId="0" fontId="17" fillId="4" borderId="4" pivotButton="0" quotePrefix="0" xfId="0"/>
    <xf numFmtId="0" fontId="1" fillId="2" borderId="0" pivotButton="0" quotePrefix="0" xfId="0"/>
    <xf numFmtId="0" fontId="8" fillId="2" borderId="0" applyAlignment="1" pivotButton="0" quotePrefix="0" xfId="0">
      <alignment vertical="center"/>
    </xf>
    <xf numFmtId="0" fontId="2" fillId="2" borderId="0" pivotButton="0" quotePrefix="0" xfId="0"/>
    <xf numFmtId="0" fontId="7" fillId="5" borderId="2" applyProtection="1" pivotButton="0" quotePrefix="0" xfId="0">
      <protection locked="0" hidden="0"/>
    </xf>
    <xf numFmtId="0" fontId="2" fillId="2" borderId="0" applyAlignment="1" pivotButton="0" quotePrefix="0" xfId="0">
      <alignment horizontal="right"/>
    </xf>
    <xf numFmtId="166" fontId="7" fillId="2" borderId="0" applyAlignment="1" pivotButton="0" quotePrefix="0" xfId="0">
      <alignment horizontal="left"/>
    </xf>
    <xf numFmtId="165" fontId="7" fillId="2" borderId="0" applyAlignment="1" pivotButton="0" quotePrefix="0" xfId="0">
      <alignment horizontal="left"/>
    </xf>
    <xf numFmtId="1" fontId="9" fillId="2" borderId="0" applyAlignment="1" pivotButton="0" quotePrefix="0" xfId="0">
      <alignment horizontal="left"/>
    </xf>
    <xf numFmtId="1" fontId="10" fillId="2" borderId="0" applyAlignment="1" pivotButton="0" quotePrefix="0" xfId="0">
      <alignment horizontal="left"/>
    </xf>
    <xf numFmtId="1" fontId="11" fillId="2" borderId="0" applyAlignment="1" pivotButton="0" quotePrefix="0" xfId="0">
      <alignment horizontal="left"/>
    </xf>
    <xf numFmtId="0" fontId="8" fillId="2" borderId="0" applyAlignment="1" pivotButton="0" quotePrefix="0" xfId="0">
      <alignment vertical="center" wrapText="1"/>
    </xf>
    <xf numFmtId="0" fontId="3" fillId="3" borderId="0" applyAlignment="1" pivotButton="0" quotePrefix="0" xfId="0">
      <alignment horizontal="left" vertical="center" wrapText="1"/>
    </xf>
    <xf numFmtId="0" fontId="3" fillId="6" borderId="0" applyAlignment="1" pivotButton="0" quotePrefix="0" xfId="0">
      <alignment horizontal="left" vertical="center" wrapText="1"/>
    </xf>
    <xf numFmtId="0" fontId="5" fillId="7" borderId="1" applyAlignment="1" applyProtection="1" pivotButton="0" quotePrefix="0" xfId="0">
      <alignment vertical="top"/>
      <protection locked="0" hidden="0"/>
    </xf>
    <xf numFmtId="0" fontId="5" fillId="5" borderId="1" applyAlignment="1" applyProtection="1" pivotButton="0" quotePrefix="0" xfId="0">
      <alignment vertical="top"/>
      <protection locked="0" hidden="0"/>
    </xf>
    <xf numFmtId="0" fontId="5" fillId="5" borderId="1" applyAlignment="1" applyProtection="1" pivotButton="0" quotePrefix="0" xfId="0">
      <alignment vertical="top" wrapText="1"/>
      <protection locked="0" hidden="0"/>
    </xf>
    <xf numFmtId="167" fontId="5" fillId="5" borderId="1" applyAlignment="1" applyProtection="1" pivotButton="0" quotePrefix="0" xfId="0">
      <alignment vertical="top"/>
      <protection locked="0" hidden="0"/>
    </xf>
    <xf numFmtId="168" fontId="5" fillId="5" borderId="1" applyAlignment="1" applyProtection="1" pivotButton="0" quotePrefix="0" xfId="0">
      <alignment vertical="top"/>
      <protection locked="0" hidden="0"/>
    </xf>
    <xf numFmtId="166" fontId="4" fillId="4" borderId="1" applyAlignment="1" pivotButton="0" quotePrefix="0" xfId="0">
      <alignment vertical="top"/>
    </xf>
    <xf numFmtId="9" fontId="5" fillId="5" borderId="1" applyAlignment="1" applyProtection="1" pivotButton="0" quotePrefix="0" xfId="0">
      <alignment vertical="top"/>
      <protection locked="0" hidden="0"/>
    </xf>
    <xf numFmtId="169" fontId="5" fillId="5" borderId="1" applyAlignment="1" applyProtection="1" pivotButton="0" quotePrefix="0" xfId="0">
      <alignment vertical="top"/>
      <protection locked="0" hidden="0"/>
    </xf>
    <xf numFmtId="165" fontId="5" fillId="5" borderId="1" applyAlignment="1" applyProtection="1" pivotButton="0" quotePrefix="0" xfId="0">
      <alignment vertical="top"/>
      <protection locked="0" hidden="0"/>
    </xf>
    <xf numFmtId="1" fontId="5" fillId="5" borderId="1" applyAlignment="1" applyProtection="1" pivotButton="0" quotePrefix="0" xfId="0">
      <alignment vertical="top"/>
      <protection locked="0" hidden="0"/>
    </xf>
    <xf numFmtId="165" fontId="4" fillId="4" borderId="1" applyAlignment="1" pivotButton="0" quotePrefix="0" xfId="0">
      <alignment vertical="top"/>
    </xf>
    <xf numFmtId="170" fontId="4" fillId="4" borderId="1" applyAlignment="1" pivotButton="0" quotePrefix="0" xfId="0">
      <alignment vertical="top"/>
    </xf>
    <xf numFmtId="0" fontId="4" fillId="4" borderId="1" applyAlignment="1" pivotButton="0" quotePrefix="0" xfId="0">
      <alignment vertical="top"/>
    </xf>
    <xf numFmtId="0" fontId="3" fillId="3" borderId="0" applyAlignment="1" pivotButton="0" quotePrefix="0" xfId="0">
      <alignment vertical="center" wrapText="1"/>
    </xf>
    <xf numFmtId="0" fontId="3" fillId="6" borderId="0" applyAlignment="1" pivotButton="0" quotePrefix="0" xfId="0">
      <alignment vertical="center" wrapText="1"/>
    </xf>
    <xf numFmtId="0" fontId="5" fillId="5" borderId="1" applyProtection="1" pivotButton="0" quotePrefix="0" xfId="0">
      <protection locked="0" hidden="0"/>
    </xf>
    <xf numFmtId="1" fontId="4" fillId="4" borderId="1" pivotButton="0" quotePrefix="0" xfId="0"/>
    <xf numFmtId="166" fontId="4" fillId="4" borderId="1" pivotButton="0" quotePrefix="0" xfId="0"/>
    <xf numFmtId="165" fontId="4" fillId="4" borderId="1" pivotButton="0" quotePrefix="0" xfId="0"/>
    <xf numFmtId="0" fontId="12" fillId="2" borderId="3" pivotButton="0" quotePrefix="0" xfId="0"/>
    <xf numFmtId="0" fontId="0" fillId="2" borderId="3" pivotButton="0" quotePrefix="0" xfId="0"/>
    <xf numFmtId="1" fontId="12" fillId="2" borderId="3" pivotButton="0" quotePrefix="0" xfId="0"/>
    <xf numFmtId="166" fontId="12" fillId="2" borderId="3" pivotButton="0" quotePrefix="0" xfId="0"/>
    <xf numFmtId="0" fontId="2" fillId="0" borderId="0" pivotButton="0" quotePrefix="0" xfId="0"/>
    <xf numFmtId="1" fontId="7" fillId="0" borderId="0" pivotButton="0" quotePrefix="0" xfId="0"/>
    <xf numFmtId="0" fontId="7" fillId="0" borderId="0" pivotButton="0" quotePrefix="0" xfId="0"/>
    <xf numFmtId="168" fontId="4" fillId="4" borderId="1" pivotButton="0" quotePrefix="0" xfId="0"/>
    <xf numFmtId="0" fontId="4" fillId="4" borderId="1" pivotButton="0" quotePrefix="0" xfId="0"/>
    <xf numFmtId="164" fontId="5" fillId="5" borderId="1" applyProtection="1" pivotButton="0" quotePrefix="0" xfId="0">
      <protection locked="0" hidden="0"/>
    </xf>
    <xf numFmtId="9" fontId="5" fillId="5" borderId="1" applyProtection="1" pivotButton="0" quotePrefix="0" xfId="0">
      <protection locked="0" hidden="0"/>
    </xf>
    <xf numFmtId="0" fontId="5" fillId="2" borderId="1" applyAlignment="1" pivotButton="0" quotePrefix="0" xfId="0">
      <alignment vertical="center" wrapText="1"/>
    </xf>
    <xf numFmtId="0" fontId="7" fillId="5" borderId="1" applyAlignment="1" applyProtection="1" pivotButton="0" quotePrefix="0" xfId="0">
      <alignment horizontal="center" vertical="center"/>
      <protection locked="0" hidden="0"/>
    </xf>
    <xf numFmtId="9" fontId="0" fillId="5" borderId="1" applyProtection="1" pivotButton="0" quotePrefix="0" xfId="0">
      <protection locked="0" hidden="0"/>
    </xf>
    <xf numFmtId="0" fontId="2" fillId="2" borderId="0" applyAlignment="1" pivotButton="0" quotePrefix="0" xfId="0">
      <alignment wrapText="1"/>
    </xf>
    <xf numFmtId="165" fontId="0" fillId="5" borderId="1" applyProtection="1" pivotButton="0" quotePrefix="0" xfId="0">
      <protection locked="0" hidden="0"/>
    </xf>
    <xf numFmtId="0" fontId="6" fillId="2" borderId="0" applyAlignment="1" pivotButton="0" quotePrefix="0" xfId="0">
      <alignment vertical="top" wrapText="1"/>
    </xf>
  </cellXfs>
  <cellStyles count="1">
    <cellStyle name="Normal" xfId="0" builtinId="0" hidden="0"/>
  </cellStyles>
  <dxfs count="4">
    <dxf>
      <font>
        <b val="1"/>
        <color rgb="00A0282E"/>
      </font>
      <fill>
        <patternFill patternType="solid">
          <fgColor rgb="00F7DFE0"/>
          <bgColor rgb="00F7DFE0"/>
        </patternFill>
      </fill>
    </dxf>
    <dxf>
      <font>
        <b val="1"/>
        <color rgb="008A5A00"/>
      </font>
      <fill>
        <patternFill patternType="solid">
          <fgColor rgb="00FBEFD5"/>
          <bgColor rgb="00FBEFD5"/>
        </patternFill>
      </fill>
    </dxf>
    <dxf>
      <font>
        <color rgb="003F6B4A"/>
      </font>
      <fill>
        <patternFill patternType="solid">
          <fgColor rgb="00E3EEE5"/>
          <bgColor rgb="00E3EEE5"/>
        </patternFill>
      </fill>
    </dxf>
    <dxf>
      <font>
        <i val="1"/>
        <color rgb="008A847A"/>
      </font>
      <fill>
        <patternFill patternType="solid">
          <fgColor rgb="00F1ECE3"/>
          <bgColor rgb="00F1EC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1D1A"/>
    <outlinePr summaryBelow="1" summaryRight="1"/>
    <pageSetUpPr fitToPage="1"/>
  </sheetPr>
  <dimension ref="A1:D80"/>
  <sheetViews>
    <sheetView showGridLines="0" workbookViewId="0">
      <selection activeCell="A1" sqref="A1"/>
    </sheetView>
  </sheetViews>
  <sheetFormatPr baseColWidth="8" defaultRowHeight="15"/>
  <cols>
    <col width="3" customWidth="1" min="1" max="1"/>
    <col width="26" customWidth="1" min="2" max="2"/>
    <col width="92" customWidth="1" min="3" max="3"/>
  </cols>
  <sheetData>
    <row r="1">
      <c r="A1" s="1" t="n"/>
      <c r="B1" s="2" t="inlineStr">
        <is>
          <t>FREE TEMPLATE</t>
        </is>
      </c>
      <c r="C1" s="1" t="n"/>
      <c r="D1" s="1" t="n"/>
    </row>
    <row r="2" ht="30" customHeight="1">
      <c r="A2" s="1" t="n"/>
      <c r="B2" s="3" t="inlineStr">
        <is>
          <t>FF&amp;E schedule with order-by dates</t>
        </is>
      </c>
      <c r="C2" s="1" t="n"/>
      <c r="D2" s="1" t="n"/>
    </row>
    <row r="3" ht="28" customHeight="1">
      <c r="A3" s="1" t="n"/>
      <c r="B3" s="4" t="inlineStr">
        <is>
          <t>One line per item. Give each line a lead time and an install date and the sheet works out the last day you can order it, how many days are left, and whether it is OK, at risk, late or blocked.</t>
        </is>
      </c>
      <c r="D3" s="1" t="n"/>
    </row>
    <row r="4">
      <c r="A4" s="1" t="n"/>
      <c r="B4" s="1" t="n"/>
      <c r="C4" s="1" t="n"/>
      <c r="D4" s="1" t="n"/>
    </row>
    <row r="5">
      <c r="A5" s="1" t="n"/>
      <c r="B5" s="5" t="inlineStr">
        <is>
          <t>Getting started</t>
        </is>
      </c>
      <c r="C5" s="6" t="n"/>
      <c r="D5" s="1" t="n"/>
    </row>
    <row r="6" ht="30" customHeight="1">
      <c r="A6" s="1" t="n"/>
      <c r="B6" s="7" t="inlineStr">
        <is>
          <t>1. Clear the sample</t>
        </is>
      </c>
      <c r="C6" s="8" t="inlineStr">
        <is>
          <t>The first 30 rows on Schedule (shaded Ref cells) are fictional examples, and so are the rooms and suppliers. Select the white cells of those rows and press Delete; the formulas stay in place.</t>
        </is>
      </c>
      <c r="D6" s="1" t="n"/>
    </row>
    <row r="7" ht="30" customHeight="1">
      <c r="A7" s="1" t="n"/>
      <c r="B7" s="7" t="inlineStr">
        <is>
          <t>2. Set up Lists</t>
        </is>
      </c>
      <c r="C7" s="8" t="inlineStr">
        <is>
          <t>On Lists, replace the example exchange rates with today's rates and note the rate date. Check the three settings: default buffer (7 days), default approval buffer (0 days) and the at-risk window (14 days).</t>
        </is>
      </c>
      <c r="D7" s="1" t="n"/>
    </row>
    <row r="8" ht="30" customHeight="1">
      <c r="A8" s="1" t="n"/>
      <c r="B8" s="7" t="inlineStr">
        <is>
          <t>3. Add rooms and suppliers</t>
        </is>
      </c>
      <c r="C8" s="8" t="inlineStr">
        <is>
          <t>Type your rooms on Rooms and your suppliers on Suppliers. They become the dropdowns on Schedule and drive the totals on those sheets.</t>
        </is>
      </c>
      <c r="D8" s="1" t="n"/>
    </row>
    <row r="9" ht="30" customHeight="1">
      <c r="A9" s="1" t="n"/>
      <c r="B9" s="7" t="inlineStr">
        <is>
          <t>4. Fill in the schedule</t>
        </is>
      </c>
      <c r="C9" s="8" t="inlineStr">
        <is>
          <t>White cells are for typing. Shaded (brass-headed) columns calculate and are locked. 200 rows are ready; to add more, unprotect the sheet and copy the last row down.</t>
        </is>
      </c>
      <c r="D9" s="1" t="n"/>
    </row>
    <row r="10" ht="30" customHeight="1">
      <c r="A10" s="1" t="n"/>
      <c r="B10" s="7" t="inlineStr">
        <is>
          <t>5. Keep status current</t>
        </is>
      </c>
      <c r="C10" s="8" t="inlineStr">
        <is>
          <t>Change Status as items move from Specified to Installed. Anything Ordered or beyond drops out of the risk count; On hold and Out of stock show as Blocked.</t>
        </is>
      </c>
      <c r="D10" s="1" t="n"/>
    </row>
    <row r="11">
      <c r="A11" s="1" t="n"/>
      <c r="B11" s="1" t="n"/>
      <c r="C11" s="1" t="n"/>
      <c r="D11" s="1" t="n"/>
    </row>
    <row r="12">
      <c r="A12" s="1" t="n"/>
      <c r="B12" s="5" t="inlineStr">
        <is>
          <t>How the dates work</t>
        </is>
      </c>
      <c r="C12" s="6" t="n"/>
      <c r="D12" s="1" t="n"/>
    </row>
    <row r="13" ht="30" customHeight="1">
      <c r="A13" s="1" t="n"/>
      <c r="B13" s="7" t="inlineStr">
        <is>
          <t>Order-by date</t>
        </is>
      </c>
      <c r="C13" s="8" t="inlineStr">
        <is>
          <t>Install date − Buffer (days) − Lead time (weeks) × 7 − Approval buffer (days), rounded down to a whole day. A blank Buffer or Approval buffer uses the default on Lists.</t>
        </is>
      </c>
      <c r="D13" s="1" t="n"/>
    </row>
    <row r="14" ht="30" customHeight="1">
      <c r="A14" s="1" t="n"/>
      <c r="B14" s="7" t="inlineStr">
        <is>
          <t>Days until order-by</t>
        </is>
      </c>
      <c r="C14" s="8" t="inlineStr">
        <is>
          <t>Order-by date minus today. Negative means the date has passed.</t>
        </is>
      </c>
      <c r="D14" s="1" t="n"/>
    </row>
    <row r="15" ht="42" customHeight="1">
      <c r="A15" s="1" t="n"/>
      <c r="B15" s="7" t="inlineStr">
        <is>
          <t>Risk</t>
        </is>
      </c>
      <c r="C15" s="8" t="inlineStr">
        <is>
          <t>Blocked if Status is On hold or Out of stock. OK if the item is already Ordered, In production, Shipped, Delivered or Installed. Otherwise Late if the order-by date has passed, At risk if it is within the at-risk window (14 days by default), and OK if not. Needs dates means the lead time or install date is missing.</t>
        </is>
      </c>
      <c r="D15" s="1" t="n"/>
    </row>
    <row r="16" ht="42" customHeight="1">
      <c r="A16" s="1" t="n"/>
      <c r="B16" s="7" t="inlineStr">
        <is>
          <t>Buffer</t>
        </is>
      </c>
      <c r="C16" s="8" t="inlineStr">
        <is>
          <t>Days between delivery and install: booking the delivery, checking for damage, snagging. Use a larger buffer for items that feed another trade, such as fabric going to an upholsterer (see sample row DR-02).</t>
        </is>
      </c>
      <c r="D16" s="1" t="n"/>
    </row>
    <row r="17" ht="30" customHeight="1">
      <c r="A17" s="1" t="n"/>
      <c r="B17" s="7" t="inlineStr">
        <is>
          <t>Approval buffer</t>
        </is>
      </c>
      <c r="C17" s="8" t="inlineStr">
        <is>
          <t>Days the client needs to sign off before you can place the order. Set it to 0 once approved.</t>
        </is>
      </c>
      <c r="D17" s="1" t="n"/>
    </row>
    <row r="18" ht="30" customHeight="1">
      <c r="A18" s="1" t="n"/>
      <c r="B18" s="7" t="inlineStr">
        <is>
          <t>Sample dates</t>
        </is>
      </c>
      <c r="C18" s="8" t="inlineStr">
        <is>
          <t>Sample install and approval dates are formulas relative to today so the risk column shows a realistic mix whenever you open the file. Type real dates over them.</t>
        </is>
      </c>
      <c r="D18" s="1" t="n"/>
    </row>
    <row r="19">
      <c r="A19" s="1" t="n"/>
      <c r="B19" s="1" t="n"/>
      <c r="C19" s="1" t="n"/>
      <c r="D19" s="1" t="n"/>
    </row>
    <row r="20">
      <c r="A20" s="1" t="n"/>
      <c r="B20" s="5" t="inlineStr">
        <is>
          <t>Money</t>
        </is>
      </c>
      <c r="C20" s="6" t="n"/>
      <c r="D20" s="1" t="n"/>
    </row>
    <row r="21" ht="42" customHeight="1">
      <c r="A21" s="1" t="n"/>
      <c r="B21" s="7" t="inlineStr">
        <is>
          <t>Currency</t>
        </is>
      </c>
      <c r="C21" s="8" t="inlineStr">
        <is>
          <t>Enter Unit cost in the supplier's currency and pick the currency. Unit cost (GBP) converts using the rate table on Lists (GBP per one unit of the currency). A currency not on the list turns red.</t>
        </is>
      </c>
      <c r="D21" s="1" t="n"/>
    </row>
    <row r="22" ht="30" customHeight="1">
      <c r="A22" s="1" t="n"/>
      <c r="B22" s="7" t="inlineStr">
        <is>
          <t>Line total</t>
        </is>
      </c>
      <c r="C22" s="8" t="inlineStr">
        <is>
          <t>Qty × Unit cost (GBP), ex VAT. The header shows totals ex VAT, VAT and inc VAT.</t>
        </is>
      </c>
      <c r="D22" s="1" t="n"/>
    </row>
    <row r="23" ht="42" customHeight="1">
      <c r="A23" s="1" t="n"/>
      <c r="B23" s="7" t="inlineStr">
        <is>
          <t>VAT rate</t>
        </is>
      </c>
      <c r="C23" s="8" t="inlineStr">
        <is>
          <t>Pick the rate the supplier will charge from the list on Lists. For orders from overseas, check import VAT and duty with your accountant or shipping agent; this sheet does not calculate them.</t>
        </is>
      </c>
      <c r="D23" s="1" t="n"/>
    </row>
    <row r="24" ht="42" customHeight="1">
      <c r="A24" s="1" t="n"/>
      <c r="B24" s="7" t="inlineStr">
        <is>
          <t>Rooms and Suppliers</t>
        </is>
      </c>
      <c r="C24" s="8" t="inlineStr">
        <is>
          <t>Room and supplier totals use SUMIFS over the schedule, plus counts of late, at-risk and not-yet-ordered lines and the next order-by date for each. A check line flags schedule rows whose room or supplier is not listed, so nothing falls out of the totals unnoticed.</t>
        </is>
      </c>
      <c r="D24" s="1" t="n"/>
    </row>
    <row r="25">
      <c r="A25" s="1" t="n"/>
      <c r="B25" s="1" t="n"/>
      <c r="C25" s="1" t="n"/>
      <c r="D25" s="1" t="n"/>
    </row>
    <row r="26">
      <c r="A26" s="1" t="n"/>
      <c r="B26" s="5" t="inlineStr">
        <is>
          <t>Colour key</t>
        </is>
      </c>
      <c r="C26" s="6" t="n"/>
      <c r="D26" s="1" t="n"/>
    </row>
    <row r="27">
      <c r="A27" s="1" t="n"/>
      <c r="B27" s="9" t="inlineStr">
        <is>
          <t>Late / Blocked</t>
        </is>
      </c>
      <c r="C27" s="10" t="inlineStr">
        <is>
          <t>Order now, or unblock the item (choose an alternative, chase the client).</t>
        </is>
      </c>
      <c r="D27" s="1" t="n"/>
    </row>
    <row r="28">
      <c r="A28" s="1" t="n"/>
      <c r="B28" s="11" t="inlineStr">
        <is>
          <t>At risk</t>
        </is>
      </c>
      <c r="C28" s="10" t="inlineStr">
        <is>
          <t>The order-by date is inside the at-risk window.</t>
        </is>
      </c>
      <c r="D28" s="1" t="n"/>
    </row>
    <row r="29">
      <c r="A29" s="1" t="n"/>
      <c r="B29" s="12" t="inlineStr">
        <is>
          <t>OK</t>
        </is>
      </c>
      <c r="C29" s="10" t="inlineStr">
        <is>
          <t>Ordered already, or comfortably ahead of the order-by date.</t>
        </is>
      </c>
      <c r="D29" s="1" t="n"/>
    </row>
    <row r="30">
      <c r="A30" s="1" t="n"/>
      <c r="B30" s="13" t="inlineStr">
        <is>
          <t>White cell</t>
        </is>
      </c>
      <c r="C30" s="10" t="inlineStr">
        <is>
          <t>Type here.</t>
        </is>
      </c>
      <c r="D30" s="1" t="n"/>
    </row>
    <row r="31">
      <c r="A31" s="1" t="n"/>
      <c r="B31" s="14" t="inlineStr">
        <is>
          <t>Shaded cell</t>
        </is>
      </c>
      <c r="C31" s="10" t="inlineStr">
        <is>
          <t>Calculated. Locked so formulas are not overwritten by accident.</t>
        </is>
      </c>
      <c r="D31" s="1" t="n"/>
    </row>
    <row r="32">
      <c r="A32" s="1" t="n"/>
      <c r="B32" s="1" t="n"/>
      <c r="C32" s="1" t="n"/>
      <c r="D32" s="1" t="n"/>
    </row>
    <row r="33">
      <c r="A33" s="1" t="n"/>
      <c r="B33" s="5" t="inlineStr">
        <is>
          <t>Good to know</t>
        </is>
      </c>
      <c r="C33" s="6" t="n"/>
      <c r="D33" s="1" t="n"/>
    </row>
    <row r="34" ht="30" customHeight="1">
      <c r="A34" s="1" t="n"/>
      <c r="B34" s="7" t="inlineStr">
        <is>
          <t>Protection</t>
        </is>
      </c>
      <c r="C34" s="8" t="inlineStr">
        <is>
          <t>Sheets are protected without a password so formulas survive busy weeks. To change a formula or sort the whole table, use Review &gt; Unprotect Sheet. Filters work while protected.</t>
        </is>
      </c>
      <c r="D34" s="1" t="n"/>
    </row>
    <row r="35" ht="30" customHeight="1">
      <c r="A35" s="1" t="n"/>
      <c r="B35" s="7" t="inlineStr">
        <is>
          <t>Printing</t>
        </is>
      </c>
      <c r="C35" s="8" t="inlineStr">
        <is>
          <t>Schedule prints landscape on A4, fitted to the page width, with the header row repeated on every page.</t>
        </is>
      </c>
      <c r="D35" s="1" t="n"/>
    </row>
    <row r="36" ht="30" customHeight="1">
      <c r="A36" s="1" t="n"/>
      <c r="B36" s="7" t="inlineStr">
        <is>
          <t>Named ranges</t>
        </is>
      </c>
      <c r="C36" s="8" t="inlineStr">
        <is>
          <t>Formulas use named ranges (Sched_Room, Sched_LineGBP, FX_Rate, NudgeDays and so on). See Formulas &gt; Name Manager.</t>
        </is>
      </c>
      <c r="D36" s="1" t="n"/>
    </row>
    <row r="37" ht="30" customHeight="1">
      <c r="A37" s="1" t="n"/>
      <c r="B37" s="7" t="inlineStr">
        <is>
          <t>Compatibility</t>
        </is>
      </c>
      <c r="C37" s="8" t="inlineStr">
        <is>
          <t>Built for Microsoft Excel 2019 or Microsoft 365. The 'Next order-by' columns on Rooms and Suppliers use MINIFS, which Excel 2016 and earlier do not support; everything else works in older versions.</t>
        </is>
      </c>
      <c r="D37" s="1" t="n"/>
    </row>
    <row r="38">
      <c r="A38" s="1" t="n"/>
      <c r="B38" s="1" t="n"/>
      <c r="C38" s="1" t="n"/>
      <c r="D38" s="1" t="n"/>
    </row>
    <row r="39">
      <c r="A39" s="1" t="n"/>
      <c r="B39" s="4" t="inlineStr">
        <is>
          <t>Made by Techstyles · techstyles.ai</t>
        </is>
      </c>
      <c r="C39" s="1" t="n"/>
      <c r="D39" s="1" t="n"/>
    </row>
    <row r="40">
      <c r="A40" s="1" t="n"/>
      <c r="B40" s="1" t="n"/>
      <c r="C40" s="1" t="n"/>
      <c r="D40" s="1" t="n"/>
    </row>
    <row r="41" ht="28" customHeight="1">
      <c r="A41" s="1" t="n"/>
      <c r="B41" s="4" t="inlineStr">
        <is>
          <t>Techstyles does this scoring automatically for every FF&amp;E line, alongside purchase orders, client approvals and Xero. The template works on its own.</t>
        </is>
      </c>
      <c r="D41" s="1" t="n"/>
    </row>
    <row r="42">
      <c r="A42" s="1" t="n"/>
      <c r="B42" s="1" t="n"/>
      <c r="C42" s="1" t="n"/>
      <c r="D42" s="1" t="n"/>
    </row>
    <row r="43">
      <c r="A43" s="1" t="n"/>
      <c r="B43" s="1" t="n"/>
      <c r="C43" s="1" t="n"/>
      <c r="D43" s="1" t="n"/>
    </row>
    <row r="44">
      <c r="A44" s="1" t="n"/>
      <c r="B44" s="1" t="n"/>
      <c r="C44" s="1" t="n"/>
      <c r="D44" s="1" t="n"/>
    </row>
    <row r="45">
      <c r="A45" s="1" t="n"/>
      <c r="B45" s="1" t="n"/>
      <c r="C45" s="1" t="n"/>
      <c r="D45" s="1" t="n"/>
    </row>
    <row r="46">
      <c r="A46" s="1" t="n"/>
      <c r="B46" s="1" t="n"/>
      <c r="C46" s="1" t="n"/>
      <c r="D46" s="1" t="n"/>
    </row>
    <row r="47">
      <c r="A47" s="1" t="n"/>
      <c r="B47" s="1" t="n"/>
      <c r="C47" s="1" t="n"/>
      <c r="D47" s="1" t="n"/>
    </row>
    <row r="48">
      <c r="A48" s="1" t="n"/>
      <c r="B48" s="1" t="n"/>
      <c r="C48" s="1" t="n"/>
      <c r="D48" s="1" t="n"/>
    </row>
    <row r="49">
      <c r="A49" s="1" t="n"/>
      <c r="B49" s="1" t="n"/>
      <c r="C49" s="1" t="n"/>
      <c r="D49" s="1" t="n"/>
    </row>
    <row r="50">
      <c r="A50" s="1" t="n"/>
      <c r="B50" s="1" t="n"/>
      <c r="C50" s="1" t="n"/>
      <c r="D50" s="1" t="n"/>
    </row>
    <row r="51">
      <c r="A51" s="1" t="n"/>
      <c r="B51" s="1" t="n"/>
      <c r="C51" s="1" t="n"/>
      <c r="D51" s="1" t="n"/>
    </row>
    <row r="52">
      <c r="A52" s="1" t="n"/>
      <c r="B52" s="1" t="n"/>
      <c r="C52" s="1" t="n"/>
      <c r="D52" s="1" t="n"/>
    </row>
    <row r="53">
      <c r="A53" s="1" t="n"/>
      <c r="B53" s="1" t="n"/>
      <c r="C53" s="1" t="n"/>
      <c r="D53" s="1" t="n"/>
    </row>
    <row r="54">
      <c r="A54" s="1" t="n"/>
      <c r="B54" s="1" t="n"/>
      <c r="C54" s="1" t="n"/>
      <c r="D54" s="1" t="n"/>
    </row>
    <row r="55">
      <c r="A55" s="1" t="n"/>
      <c r="B55" s="1" t="n"/>
      <c r="C55" s="1" t="n"/>
      <c r="D55" s="1" t="n"/>
    </row>
    <row r="56">
      <c r="A56" s="1" t="n"/>
      <c r="B56" s="1" t="n"/>
      <c r="C56" s="1" t="n"/>
      <c r="D56" s="1" t="n"/>
    </row>
    <row r="57">
      <c r="A57" s="1" t="n"/>
      <c r="B57" s="1" t="n"/>
      <c r="C57" s="1" t="n"/>
      <c r="D57" s="1" t="n"/>
    </row>
    <row r="58">
      <c r="A58" s="1" t="n"/>
      <c r="B58" s="1" t="n"/>
      <c r="C58" s="1" t="n"/>
      <c r="D58" s="1" t="n"/>
    </row>
    <row r="59">
      <c r="A59" s="1" t="n"/>
      <c r="B59" s="1" t="n"/>
      <c r="C59" s="1" t="n"/>
      <c r="D59" s="1" t="n"/>
    </row>
    <row r="60">
      <c r="A60" s="1" t="n"/>
      <c r="B60" s="1" t="n"/>
      <c r="C60" s="1" t="n"/>
      <c r="D60" s="1" t="n"/>
    </row>
    <row r="61">
      <c r="A61" s="1" t="n"/>
      <c r="B61" s="1" t="n"/>
      <c r="C61" s="1" t="n"/>
      <c r="D61" s="1" t="n"/>
    </row>
    <row r="62">
      <c r="A62" s="1" t="n"/>
      <c r="B62" s="1" t="n"/>
      <c r="C62" s="1" t="n"/>
      <c r="D62" s="1" t="n"/>
    </row>
    <row r="63">
      <c r="A63" s="1" t="n"/>
      <c r="B63" s="1" t="n"/>
      <c r="C63" s="1" t="n"/>
      <c r="D63" s="1" t="n"/>
    </row>
    <row r="64">
      <c r="A64" s="1" t="n"/>
      <c r="B64" s="1" t="n"/>
      <c r="C64" s="1" t="n"/>
      <c r="D64" s="1" t="n"/>
    </row>
    <row r="65">
      <c r="A65" s="1" t="n"/>
      <c r="B65" s="1" t="n"/>
      <c r="C65" s="1" t="n"/>
      <c r="D65" s="1" t="n"/>
    </row>
    <row r="66">
      <c r="A66" s="1" t="n"/>
      <c r="B66" s="1" t="n"/>
      <c r="C66" s="1" t="n"/>
      <c r="D66" s="1" t="n"/>
    </row>
    <row r="67">
      <c r="A67" s="1" t="n"/>
      <c r="B67" s="1" t="n"/>
      <c r="C67" s="1" t="n"/>
      <c r="D67" s="1" t="n"/>
    </row>
    <row r="68">
      <c r="A68" s="1" t="n"/>
      <c r="B68" s="1" t="n"/>
      <c r="C68" s="1" t="n"/>
      <c r="D68" s="1" t="n"/>
    </row>
    <row r="69">
      <c r="A69" s="1" t="n"/>
      <c r="B69" s="1" t="n"/>
      <c r="C69" s="1" t="n"/>
      <c r="D69" s="1" t="n"/>
    </row>
    <row r="70">
      <c r="A70" s="1" t="n"/>
      <c r="B70" s="1" t="n"/>
      <c r="C70" s="1" t="n"/>
      <c r="D70" s="1" t="n"/>
    </row>
    <row r="71">
      <c r="A71" s="1" t="n"/>
      <c r="B71" s="1" t="n"/>
      <c r="C71" s="1" t="n"/>
      <c r="D71" s="1" t="n"/>
    </row>
    <row r="72">
      <c r="A72" s="1" t="n"/>
      <c r="B72" s="1" t="n"/>
      <c r="C72" s="1" t="n"/>
      <c r="D72" s="1" t="n"/>
    </row>
    <row r="73">
      <c r="A73" s="1" t="n"/>
      <c r="B73" s="1" t="n"/>
      <c r="C73" s="1" t="n"/>
      <c r="D73" s="1" t="n"/>
    </row>
    <row r="74">
      <c r="A74" s="1" t="n"/>
      <c r="B74" s="1" t="n"/>
      <c r="C74" s="1" t="n"/>
      <c r="D74" s="1" t="n"/>
    </row>
    <row r="75">
      <c r="A75" s="1" t="n"/>
      <c r="B75" s="1" t="n"/>
      <c r="C75" s="1" t="n"/>
      <c r="D75" s="1" t="n"/>
    </row>
    <row r="76">
      <c r="A76" s="1" t="n"/>
      <c r="B76" s="1" t="n"/>
      <c r="C76" s="1" t="n"/>
      <c r="D76" s="1" t="n"/>
    </row>
    <row r="77">
      <c r="A77" s="1" t="n"/>
      <c r="B77" s="1" t="n"/>
      <c r="C77" s="1" t="n"/>
      <c r="D77" s="1" t="n"/>
    </row>
    <row r="78">
      <c r="A78" s="1" t="n"/>
      <c r="B78" s="1" t="n"/>
      <c r="C78" s="1" t="n"/>
      <c r="D78" s="1" t="n"/>
    </row>
    <row r="79">
      <c r="A79" s="1" t="n"/>
      <c r="B79" s="1" t="n"/>
      <c r="C79" s="1" t="n"/>
      <c r="D79" s="1" t="n"/>
    </row>
    <row r="80">
      <c r="A80" s="1" t="n"/>
      <c r="B80" s="1" t="n"/>
      <c r="C80" s="1" t="n"/>
      <c r="D80" s="1" t="n"/>
    </row>
  </sheetData>
  <mergeCells count="2">
    <mergeCell ref="B41:C41"/>
    <mergeCell ref="B3:C3"/>
  </mergeCells>
  <pageMargins left="0.75" right="0.75" top="1" bottom="1" header="0.5" footer="0.5"/>
  <pageSetup orientation="portrait" paperSize="9" fitToHeight="0" fitToWidth="1"/>
  <headerFooter>
    <oddHeader/>
    <oddFooter>&amp;L&amp;8 Made by Techstyles · techstyles.ai&amp;R&amp;8 Page &amp;P of &amp;N</oddFooter>
    <evenHeader/>
    <evenFooter/>
    <firstHeader/>
    <firstFooter/>
  </headerFooter>
</worksheet>
</file>

<file path=xl/worksheets/sheet2.xml><?xml version="1.0" encoding="utf-8"?>
<worksheet xmlns="http://schemas.openxmlformats.org/spreadsheetml/2006/main">
  <sheetPr>
    <tabColor rgb="007A6538"/>
    <outlinePr summaryBelow="1" summaryRight="1"/>
    <pageSetUpPr fitToPage="1"/>
  </sheetPr>
  <dimension ref="A1:W205"/>
  <sheetViews>
    <sheetView showGridLines="0" zoomScale="90" workbookViewId="0">
      <pane xSplit="3" ySplit="5" topLeftCell="D6" activePane="bottomRight" state="frozen"/>
      <selection pane="topRight"/>
      <selection pane="bottomLeft"/>
      <selection pane="bottomRight" activeCell="A1" sqref="A1"/>
    </sheetView>
  </sheetViews>
  <sheetFormatPr baseColWidth="8" defaultRowHeight="15"/>
  <cols>
    <col width="9" customWidth="1" min="1" max="1"/>
    <col width="18" customWidth="1" min="2" max="2"/>
    <col width="22" customWidth="1" min="3" max="3"/>
    <col width="34" customWidth="1" min="4" max="4"/>
    <col width="22" customWidth="1" min="5" max="5"/>
    <col width="14" customWidth="1" min="6" max="6"/>
    <col width="7" customWidth="1" min="7" max="7"/>
    <col width="11" customWidth="1" min="8" max="8"/>
    <col width="9" customWidth="1" min="9" max="9"/>
    <col width="12" customWidth="1" min="10" max="10"/>
    <col width="14" customWidth="1" min="11" max="11"/>
    <col width="8" customWidth="1" min="12" max="12"/>
    <col width="9" customWidth="1" min="13" max="13"/>
    <col width="12" customWidth="1" min="14" max="14"/>
    <col width="8" customWidth="1" min="15" max="15"/>
    <col width="9" customWidth="1" min="16" max="16"/>
    <col width="12" customWidth="1" min="17" max="17"/>
    <col width="10" customWidth="1" min="18" max="18"/>
    <col width="11" customWidth="1" min="19" max="19"/>
    <col width="16" customWidth="1" min="20" max="20"/>
    <col width="12" customWidth="1" min="21" max="21"/>
    <col width="11" customWidth="1" min="22" max="22"/>
    <col width="40" customWidth="1" min="23" max="23"/>
  </cols>
  <sheetData>
    <row r="1" ht="30" customHeight="1">
      <c r="A1" s="15" t="inlineStr">
        <is>
          <t>FF&amp;E schedule</t>
        </is>
      </c>
      <c r="B1" s="1" t="n"/>
      <c r="C1" s="1" t="n"/>
      <c r="D1" s="1" t="n"/>
      <c r="E1" s="16" t="inlineStr">
        <is>
          <t>ORDER-BY DATES  ·  RISK  ·  ROOM AND SUPPLIER TOTALS</t>
        </is>
      </c>
      <c r="F1" s="1" t="n"/>
      <c r="G1" s="1" t="n"/>
      <c r="H1" s="1" t="n"/>
      <c r="I1" s="1" t="n"/>
      <c r="J1" s="1" t="n"/>
      <c r="K1" s="1" t="n"/>
      <c r="L1" s="1" t="n"/>
      <c r="M1" s="1" t="n"/>
      <c r="N1" s="1" t="n"/>
      <c r="O1" s="1" t="n"/>
      <c r="P1" s="1" t="n"/>
      <c r="Q1" s="1" t="n"/>
      <c r="R1" s="1" t="n"/>
      <c r="S1" s="1" t="n"/>
      <c r="T1" s="1" t="n"/>
      <c r="U1" s="1" t="n"/>
      <c r="V1" s="1" t="n"/>
      <c r="W1" s="1" t="n"/>
    </row>
    <row r="2">
      <c r="A2" s="17" t="inlineStr">
        <is>
          <t>Project</t>
        </is>
      </c>
      <c r="B2" s="18" t="inlineStr">
        <is>
          <t>[Project name]</t>
        </is>
      </c>
      <c r="E2" s="19" t="inlineStr">
        <is>
          <t>Total ex VAT (GBP)</t>
        </is>
      </c>
      <c r="F2" s="20">
        <f>SUM(Sched_LineGBP)</f>
        <v/>
      </c>
      <c r="G2" s="19" t="inlineStr">
        <is>
          <t>VAT</t>
        </is>
      </c>
      <c r="H2" s="20">
        <f>SUMPRODUCT(Sched_LineGBP,Sched_VAT)</f>
        <v/>
      </c>
      <c r="I2" s="19" t="inlineStr">
        <is>
          <t>Inc VAT</t>
        </is>
      </c>
      <c r="J2" s="20">
        <f>F2+H2</f>
        <v/>
      </c>
      <c r="K2" s="1" t="n"/>
      <c r="L2" s="1" t="n"/>
      <c r="M2" s="1" t="n"/>
      <c r="N2" s="1" t="n"/>
      <c r="O2" s="1" t="n"/>
      <c r="P2" s="1" t="n"/>
      <c r="Q2" s="1" t="n"/>
      <c r="R2" s="1" t="n"/>
      <c r="S2" s="1" t="n"/>
      <c r="T2" s="1" t="n"/>
      <c r="U2" s="1" t="n"/>
      <c r="V2" s="1" t="n"/>
      <c r="W2" s="1" t="n"/>
    </row>
    <row r="3">
      <c r="A3" s="17" t="inlineStr">
        <is>
          <t>Today</t>
        </is>
      </c>
      <c r="B3" s="21">
        <f>TODAY()</f>
        <v/>
      </c>
      <c r="C3" s="17" t="inlineStr">
        <is>
          <t>Risk updates every time the file opens.</t>
        </is>
      </c>
      <c r="D3" s="1" t="n"/>
      <c r="E3" s="19" t="inlineStr">
        <is>
          <t>Blocked / late</t>
        </is>
      </c>
      <c r="F3" s="22">
        <f>COUNTIF(Sched_Risk,"Blocked")+COUNTIF(Sched_Risk,"Late")</f>
        <v/>
      </c>
      <c r="G3" s="19" t="inlineStr">
        <is>
          <t>At risk</t>
        </is>
      </c>
      <c r="H3" s="23">
        <f>COUNTIF(Sched_Risk,"At risk")</f>
        <v/>
      </c>
      <c r="I3" s="19" t="inlineStr">
        <is>
          <t>OK</t>
        </is>
      </c>
      <c r="J3" s="24">
        <f>COUNTIF(Sched_Risk,"OK")</f>
        <v/>
      </c>
      <c r="K3" s="1" t="n"/>
      <c r="L3" s="1" t="n"/>
      <c r="M3" s="1" t="n"/>
      <c r="N3" s="1" t="n"/>
      <c r="O3" s="1" t="n"/>
      <c r="P3" s="1" t="n"/>
      <c r="Q3" s="1" t="n"/>
      <c r="R3" s="1" t="n"/>
      <c r="S3" s="1" t="n"/>
      <c r="T3" s="1" t="n"/>
      <c r="U3" s="1" t="n"/>
      <c r="V3" s="1" t="n"/>
      <c r="W3" s="1" t="n"/>
    </row>
    <row r="4" ht="26" customHeight="1">
      <c r="A4" s="25" t="inlineStr">
        <is>
          <t>SAMPLE DATA: the first 30 rows (shaded Ref) are fictional examples. Type over them or delete their contents. White cells are for typing; shaded columns calculate and are protected (Review &gt; Unprotect Sheet, no password).</t>
        </is>
      </c>
    </row>
    <row r="5" ht="36" customHeight="1">
      <c r="A5" s="26" t="inlineStr">
        <is>
          <t>Ref</t>
        </is>
      </c>
      <c r="B5" s="26" t="inlineStr">
        <is>
          <t>Room</t>
        </is>
      </c>
      <c r="C5" s="26" t="inlineStr">
        <is>
          <t>Item</t>
        </is>
      </c>
      <c r="D5" s="26" t="inlineStr">
        <is>
          <t>Description / finish</t>
        </is>
      </c>
      <c r="E5" s="26" t="inlineStr">
        <is>
          <t>Supplier</t>
        </is>
      </c>
      <c r="F5" s="26" t="inlineStr">
        <is>
          <t>Supplier ref / SKU</t>
        </is>
      </c>
      <c r="G5" s="26" t="inlineStr">
        <is>
          <t>Qty</t>
        </is>
      </c>
      <c r="H5" s="26" t="inlineStr">
        <is>
          <t>Unit cost</t>
        </is>
      </c>
      <c r="I5" s="26" t="inlineStr">
        <is>
          <t>Currency</t>
        </is>
      </c>
      <c r="J5" s="27" t="inlineStr">
        <is>
          <t>Unit cost (GBP)</t>
        </is>
      </c>
      <c r="K5" s="27" t="inlineStr">
        <is>
          <t>Line total (GBP, ex VAT)</t>
        </is>
      </c>
      <c r="L5" s="26" t="inlineStr">
        <is>
          <t>VAT rate</t>
        </is>
      </c>
      <c r="M5" s="26" t="inlineStr">
        <is>
          <t>Lead time (weeks)</t>
        </is>
      </c>
      <c r="N5" s="26" t="inlineStr">
        <is>
          <t>Install date</t>
        </is>
      </c>
      <c r="O5" s="26" t="inlineStr">
        <is>
          <t>Buffer (days)</t>
        </is>
      </c>
      <c r="P5" s="26" t="inlineStr">
        <is>
          <t>Approval buffer (days)</t>
        </is>
      </c>
      <c r="Q5" s="27" t="inlineStr">
        <is>
          <t>Order-by date</t>
        </is>
      </c>
      <c r="R5" s="27" t="inlineStr">
        <is>
          <t>Days until order-by</t>
        </is>
      </c>
      <c r="S5" s="27" t="inlineStr">
        <is>
          <t>Risk</t>
        </is>
      </c>
      <c r="T5" s="26" t="inlineStr">
        <is>
          <t>Status</t>
        </is>
      </c>
      <c r="U5" s="26" t="inlineStr">
        <is>
          <t>Client approved</t>
        </is>
      </c>
      <c r="V5" s="26" t="inlineStr">
        <is>
          <t>PO number</t>
        </is>
      </c>
      <c r="W5" s="26" t="inlineStr">
        <is>
          <t>Notes</t>
        </is>
      </c>
    </row>
    <row r="6">
      <c r="A6" s="28" t="inlineStr">
        <is>
          <t>EH-01</t>
        </is>
      </c>
      <c r="B6" s="29" t="inlineStr">
        <is>
          <t>Entrance hall</t>
        </is>
      </c>
      <c r="C6" s="30" t="inlineStr">
        <is>
          <t>Console table</t>
        </is>
      </c>
      <c r="D6" s="30" t="inlineStr">
        <is>
          <t>Fumed oak, hand-waxed, 1600 × 400 × 820 mm</t>
        </is>
      </c>
      <c r="E6" s="29" t="inlineStr">
        <is>
          <t>Marlow Joinery Workshop</t>
        </is>
      </c>
      <c r="F6" s="29" t="inlineStr">
        <is>
          <t>MJW-CT-1600</t>
        </is>
      </c>
      <c r="G6" s="31" t="n">
        <v>1</v>
      </c>
      <c r="H6" s="32" t="n">
        <v>2850</v>
      </c>
      <c r="I6" s="29" t="inlineStr">
        <is>
          <t>GBP</t>
        </is>
      </c>
      <c r="J6" s="33">
        <f>IF(H6="",0,IFERROR(H6*INDEX(FX_Rate,MATCH(IF(I6="","GBP",I6),FX_Code,0)),0))</f>
        <v/>
      </c>
      <c r="K6" s="33">
        <f>IF(ISNUMBER(G6),G6*J6,0)</f>
        <v/>
      </c>
      <c r="L6" s="34" t="n">
        <v>0.2</v>
      </c>
      <c r="M6" s="35" t="n">
        <v>8</v>
      </c>
      <c r="N6" s="36">
        <f>TODAY()+45</f>
        <v/>
      </c>
      <c r="O6" s="37" t="n"/>
      <c r="P6" s="37" t="n">
        <v>0</v>
      </c>
      <c r="Q6" s="38">
        <f>IF(OR(N6="",M6=""),"",INT(N6-IF(O6="",DefaultBuffer,O6)-M6*7-IF(P6="",DefaultApproval,P6)))</f>
        <v/>
      </c>
      <c r="R6" s="39">
        <f>IF(Q6="","",Q6-TODAY())</f>
        <v/>
      </c>
      <c r="S6" s="40">
        <f>IF(C6="","",IF(OR(T6="On hold",T6="Out of stock"),"Blocked",IF(ISNUMBER(MATCH(T6,OrderedStatuses,0)),"OK",IF(Q6="","Needs dates",IF(R6&lt;0,"Late",IF(R6&lt;=NudgeDays,"At risk","OK"))))))</f>
        <v/>
      </c>
      <c r="T6" s="29" t="inlineStr">
        <is>
          <t>Approved</t>
        </is>
      </c>
      <c r="U6" s="36">
        <f>TODAY()-10</f>
        <v/>
      </c>
      <c r="V6" s="29" t="n"/>
      <c r="W6" s="30" t="inlineStr">
        <is>
          <t>Sample. Bespoke. Shop drawings signed off; not yet ordered.</t>
        </is>
      </c>
    </row>
    <row r="7">
      <c r="A7" s="28" t="inlineStr">
        <is>
          <t>EH-02</t>
        </is>
      </c>
      <c r="B7" s="29" t="inlineStr">
        <is>
          <t>Entrance hall</t>
        </is>
      </c>
      <c r="C7" s="30" t="inlineStr">
        <is>
          <t>Pendant light</t>
        </is>
      </c>
      <c r="D7" s="30" t="inlineStr">
        <is>
          <t>Hand-blown glass, aged brass gallery, Ø450 mm</t>
        </is>
      </c>
      <c r="E7" s="29" t="inlineStr">
        <is>
          <t>Atelier Morvan</t>
        </is>
      </c>
      <c r="F7" s="29" t="inlineStr">
        <is>
          <t>AM-PL-450</t>
        </is>
      </c>
      <c r="G7" s="31" t="n">
        <v>1</v>
      </c>
      <c r="H7" s="32" t="n">
        <v>1980</v>
      </c>
      <c r="I7" s="29" t="inlineStr">
        <is>
          <t>EUR</t>
        </is>
      </c>
      <c r="J7" s="33">
        <f>IF(H7="",0,IFERROR(H7*INDEX(FX_Rate,MATCH(IF(I7="","GBP",I7),FX_Code,0)),0))</f>
        <v/>
      </c>
      <c r="K7" s="33">
        <f>IF(ISNUMBER(G7),G7*J7,0)</f>
        <v/>
      </c>
      <c r="L7" s="34" t="n">
        <v>0.2</v>
      </c>
      <c r="M7" s="35" t="n">
        <v>12</v>
      </c>
      <c r="N7" s="36">
        <f>TODAY()+45</f>
        <v/>
      </c>
      <c r="O7" s="37" t="n"/>
      <c r="P7" s="37" t="n">
        <v>0</v>
      </c>
      <c r="Q7" s="38">
        <f>IF(OR(N7="",M7=""),"",INT(N7-IF(O7="",DefaultBuffer,O7)-M7*7-IF(P7="",DefaultApproval,P7)))</f>
        <v/>
      </c>
      <c r="R7" s="39">
        <f>IF(Q7="","",Q7-TODAY())</f>
        <v/>
      </c>
      <c r="S7" s="40">
        <f>IF(C7="","",IF(OR(T7="On hold",T7="Out of stock"),"Blocked",IF(ISNUMBER(MATCH(T7,OrderedStatuses,0)),"OK",IF(Q7="","Needs dates",IF(R7&lt;0,"Late",IF(R7&lt;=NudgeDays,"At risk","OK"))))))</f>
        <v/>
      </c>
      <c r="T7" s="29" t="inlineStr">
        <is>
          <t>In production</t>
        </is>
      </c>
      <c r="U7" s="36">
        <f>TODAY()-60</f>
        <v/>
      </c>
      <c r="V7" s="29" t="inlineStr">
        <is>
          <t>PO-1001</t>
        </is>
      </c>
      <c r="W7" s="30" t="inlineStr">
        <is>
          <t>Sample. Electrician to confirm ceiling rose position.</t>
        </is>
      </c>
    </row>
    <row r="8">
      <c r="A8" s="28" t="inlineStr">
        <is>
          <t>EH-03</t>
        </is>
      </c>
      <c r="B8" s="29" t="inlineStr">
        <is>
          <t>Entrance hall</t>
        </is>
      </c>
      <c r="C8" s="30" t="inlineStr">
        <is>
          <t>Stair runner</t>
        </is>
      </c>
      <c r="D8" s="30" t="inlineStr">
        <is>
          <t>Flatweave wool, 900 mm wide × 4.2 m, custom length</t>
        </is>
      </c>
      <c r="E8" s="29" t="inlineStr">
        <is>
          <t>Halvard Textil</t>
        </is>
      </c>
      <c r="F8" s="29" t="inlineStr">
        <is>
          <t>HT-RN-0942</t>
        </is>
      </c>
      <c r="G8" s="31" t="n">
        <v>1</v>
      </c>
      <c r="H8" s="32" t="n">
        <v>18500</v>
      </c>
      <c r="I8" s="29" t="inlineStr">
        <is>
          <t>SEK</t>
        </is>
      </c>
      <c r="J8" s="33">
        <f>IF(H8="",0,IFERROR(H8*INDEX(FX_Rate,MATCH(IF(I8="","GBP",I8),FX_Code,0)),0))</f>
        <v/>
      </c>
      <c r="K8" s="33">
        <f>IF(ISNUMBER(G8),G8*J8,0)</f>
        <v/>
      </c>
      <c r="L8" s="34" t="n">
        <v>0.2</v>
      </c>
      <c r="M8" s="35" t="n">
        <v>6</v>
      </c>
      <c r="N8" s="36">
        <f>TODAY()+45</f>
        <v/>
      </c>
      <c r="O8" s="37" t="n"/>
      <c r="P8" s="37" t="n">
        <v>0</v>
      </c>
      <c r="Q8" s="38">
        <f>IF(OR(N8="",M8=""),"",INT(N8-IF(O8="",DefaultBuffer,O8)-M8*7-IF(P8="",DefaultApproval,P8)))</f>
        <v/>
      </c>
      <c r="R8" s="39">
        <f>IF(Q8="","",Q8-TODAY())</f>
        <v/>
      </c>
      <c r="S8" s="40">
        <f>IF(C8="","",IF(OR(T8="On hold",T8="Out of stock"),"Blocked",IF(ISNUMBER(MATCH(T8,OrderedStatuses,0)),"OK",IF(Q8="","Needs dates",IF(R8&lt;0,"Late",IF(R8&lt;=NudgeDays,"At risk","OK"))))))</f>
        <v/>
      </c>
      <c r="T8" s="29" t="inlineStr">
        <is>
          <t>Ordered</t>
        </is>
      </c>
      <c r="U8" s="36">
        <f>TODAY()-40</f>
        <v/>
      </c>
      <c r="V8" s="29" t="inlineStr">
        <is>
          <t>PO-1002</t>
        </is>
      </c>
      <c r="W8" s="30" t="inlineStr">
        <is>
          <t>Sample. Fitter booked for install week.</t>
        </is>
      </c>
    </row>
    <row r="9">
      <c r="A9" s="28" t="inlineStr">
        <is>
          <t>EH-04</t>
        </is>
      </c>
      <c r="B9" s="29" t="inlineStr">
        <is>
          <t>Entrance hall</t>
        </is>
      </c>
      <c r="C9" s="30" t="inlineStr">
        <is>
          <t>Mirror</t>
        </is>
      </c>
      <c r="D9" s="30" t="inlineStr">
        <is>
          <t>Antique giltwood overmantel, approx. 1100 × 1400 mm</t>
        </is>
      </c>
      <c r="E9" s="29" t="inlineStr">
        <is>
          <t>Thornbury Antiques</t>
        </is>
      </c>
      <c r="F9" s="29" t="inlineStr">
        <is>
          <t>TA-1187</t>
        </is>
      </c>
      <c r="G9" s="31" t="n">
        <v>1</v>
      </c>
      <c r="H9" s="32" t="n">
        <v>1450</v>
      </c>
      <c r="I9" s="29" t="inlineStr">
        <is>
          <t>GBP</t>
        </is>
      </c>
      <c r="J9" s="33">
        <f>IF(H9="",0,IFERROR(H9*INDEX(FX_Rate,MATCH(IF(I9="","GBP",I9),FX_Code,0)),0))</f>
        <v/>
      </c>
      <c r="K9" s="33">
        <f>IF(ISNUMBER(G9),G9*J9,0)</f>
        <v/>
      </c>
      <c r="L9" s="34" t="n">
        <v>0.2</v>
      </c>
      <c r="M9" s="35" t="n">
        <v>0</v>
      </c>
      <c r="N9" s="36">
        <f>TODAY()+45</f>
        <v/>
      </c>
      <c r="O9" s="37" t="n"/>
      <c r="P9" s="37" t="n">
        <v>0</v>
      </c>
      <c r="Q9" s="38">
        <f>IF(OR(N9="",M9=""),"",INT(N9-IF(O9="",DefaultBuffer,O9)-M9*7-IF(P9="",DefaultApproval,P9)))</f>
        <v/>
      </c>
      <c r="R9" s="39">
        <f>IF(Q9="","",Q9-TODAY())</f>
        <v/>
      </c>
      <c r="S9" s="40">
        <f>IF(C9="","",IF(OR(T9="On hold",T9="Out of stock"),"Blocked",IF(ISNUMBER(MATCH(T9,OrderedStatuses,0)),"OK",IF(Q9="","Needs dates",IF(R9&lt;0,"Late",IF(R9&lt;=NudgeDays,"At risk","OK"))))))</f>
        <v/>
      </c>
      <c r="T9" s="29" t="inlineStr">
        <is>
          <t>Delivered</t>
        </is>
      </c>
      <c r="U9" s="36">
        <f>TODAY()-30</f>
        <v/>
      </c>
      <c r="V9" s="29" t="inlineStr">
        <is>
          <t>PO-1007</t>
        </is>
      </c>
      <c r="W9" s="30" t="inlineStr">
        <is>
          <t>Sample. Held at dealer's store until install.</t>
        </is>
      </c>
    </row>
    <row r="10">
      <c r="A10" s="28" t="inlineStr">
        <is>
          <t>DR-01</t>
        </is>
      </c>
      <c r="B10" s="29" t="inlineStr">
        <is>
          <t>Drawing room</t>
        </is>
      </c>
      <c r="C10" s="30" t="inlineStr">
        <is>
          <t>Three-seat sofa</t>
        </is>
      </c>
      <c r="D10" s="30" t="inlineStr">
        <is>
          <t>COM in Ashcombe 'Linden' bouclé, oatmeal; feather-wrapped seat, 2300 mm</t>
        </is>
      </c>
      <c r="E10" s="29" t="inlineStr">
        <is>
          <t>Hartwell &amp; Rowe Upholstery</t>
        </is>
      </c>
      <c r="F10" s="29" t="inlineStr">
        <is>
          <t>HR-SF-3S-2300</t>
        </is>
      </c>
      <c r="G10" s="31" t="n">
        <v>1</v>
      </c>
      <c r="H10" s="32" t="n">
        <v>6400</v>
      </c>
      <c r="I10" s="29" t="inlineStr">
        <is>
          <t>GBP</t>
        </is>
      </c>
      <c r="J10" s="33">
        <f>IF(H10="",0,IFERROR(H10*INDEX(FX_Rate,MATCH(IF(I10="","GBP",I10),FX_Code,0)),0))</f>
        <v/>
      </c>
      <c r="K10" s="33">
        <f>IF(ISNUMBER(G10),G10*J10,0)</f>
        <v/>
      </c>
      <c r="L10" s="34" t="n">
        <v>0.2</v>
      </c>
      <c r="M10" s="35" t="n">
        <v>10</v>
      </c>
      <c r="N10" s="36">
        <f>TODAY()+100</f>
        <v/>
      </c>
      <c r="O10" s="37" t="n"/>
      <c r="P10" s="37" t="n">
        <v>10</v>
      </c>
      <c r="Q10" s="38">
        <f>IF(OR(N10="",M10=""),"",INT(N10-IF(O10="",DefaultBuffer,O10)-M10*7-IF(P10="",DefaultApproval,P10)))</f>
        <v/>
      </c>
      <c r="R10" s="39">
        <f>IF(Q10="","",Q10-TODAY())</f>
        <v/>
      </c>
      <c r="S10" s="40">
        <f>IF(C10="","",IF(OR(T10="On hold",T10="Out of stock"),"Blocked",IF(ISNUMBER(MATCH(T10,OrderedStatuses,0)),"OK",IF(Q10="","Needs dates",IF(R10&lt;0,"Late",IF(R10&lt;=NudgeDays,"At risk","OK"))))))</f>
        <v/>
      </c>
      <c r="T10" s="29" t="inlineStr">
        <is>
          <t>Awaiting approval</t>
        </is>
      </c>
      <c r="U10" s="36" t="n"/>
      <c r="V10" s="29" t="n"/>
      <c r="W10" s="30" t="inlineStr">
        <is>
          <t>Sample. Client reviewing fabric sample.</t>
        </is>
      </c>
    </row>
    <row r="11">
      <c r="A11" s="28" t="inlineStr">
        <is>
          <t>DR-02</t>
        </is>
      </c>
      <c r="B11" s="29" t="inlineStr">
        <is>
          <t>Drawing room</t>
        </is>
      </c>
      <c r="C11" s="30" t="inlineStr">
        <is>
          <t>Sofa fabric (COM)</t>
        </is>
      </c>
      <c r="D11" s="30" t="inlineStr">
        <is>
          <t>'Linden' wool bouclé, oatmeal, 14 m</t>
        </is>
      </c>
      <c r="E11" s="29" t="inlineStr">
        <is>
          <t>Ashcombe Weavers</t>
        </is>
      </c>
      <c r="F11" s="29" t="inlineStr">
        <is>
          <t>AW-LIN-OAT</t>
        </is>
      </c>
      <c r="G11" s="31" t="n">
        <v>14</v>
      </c>
      <c r="H11" s="32" t="n">
        <v>68</v>
      </c>
      <c r="I11" s="29" t="inlineStr">
        <is>
          <t>GBP</t>
        </is>
      </c>
      <c r="J11" s="33">
        <f>IF(H11="",0,IFERROR(H11*INDEX(FX_Rate,MATCH(IF(I11="","GBP",I11),FX_Code,0)),0))</f>
        <v/>
      </c>
      <c r="K11" s="33">
        <f>IF(ISNUMBER(G11),G11*J11,0)</f>
        <v/>
      </c>
      <c r="L11" s="34" t="n">
        <v>0.2</v>
      </c>
      <c r="M11" s="35" t="n">
        <v>3</v>
      </c>
      <c r="N11" s="36">
        <f>TODAY()+100</f>
        <v/>
      </c>
      <c r="O11" s="37" t="n">
        <v>77</v>
      </c>
      <c r="P11" s="37" t="n">
        <v>0</v>
      </c>
      <c r="Q11" s="38">
        <f>IF(OR(N11="",M11=""),"",INT(N11-IF(O11="",DefaultBuffer,O11)-M11*7-IF(P11="",DefaultApproval,P11)))</f>
        <v/>
      </c>
      <c r="R11" s="39">
        <f>IF(Q11="","",Q11-TODAY())</f>
        <v/>
      </c>
      <c r="S11" s="40">
        <f>IF(C11="","",IF(OR(T11="On hold",T11="Out of stock"),"Blocked",IF(ISNUMBER(MATCH(T11,OrderedStatuses,0)),"OK",IF(Q11="","Needs dates",IF(R11&lt;0,"Late",IF(R11&lt;=NudgeDays,"At risk","OK"))))))</f>
        <v/>
      </c>
      <c r="T11" s="29" t="inlineStr">
        <is>
          <t>Approved</t>
        </is>
      </c>
      <c r="U11" s="36">
        <f>TODAY()-5</f>
        <v/>
      </c>
      <c r="V11" s="29" t="n"/>
      <c r="W11" s="30" t="inlineStr">
        <is>
          <t>Sample. Buffer covers the sofa's 10-week build so fabric reaches the upholsterer first.</t>
        </is>
      </c>
    </row>
    <row r="12">
      <c r="A12" s="28" t="inlineStr">
        <is>
          <t>DR-03</t>
        </is>
      </c>
      <c r="B12" s="29" t="inlineStr">
        <is>
          <t>Drawing room</t>
        </is>
      </c>
      <c r="C12" s="30" t="inlineStr">
        <is>
          <t>Armchairs</t>
        </is>
      </c>
      <c r="D12" s="30" t="inlineStr">
        <is>
          <t>Walnut frame, saddle leather, cognac</t>
        </is>
      </c>
      <c r="E12" s="29" t="inlineStr">
        <is>
          <t>Casa Ferrante</t>
        </is>
      </c>
      <c r="F12" s="29" t="inlineStr">
        <is>
          <t>CF-AR-220</t>
        </is>
      </c>
      <c r="G12" s="31" t="n">
        <v>2</v>
      </c>
      <c r="H12" s="32" t="n">
        <v>3150</v>
      </c>
      <c r="I12" s="29" t="inlineStr">
        <is>
          <t>EUR</t>
        </is>
      </c>
      <c r="J12" s="33">
        <f>IF(H12="",0,IFERROR(H12*INDEX(FX_Rate,MATCH(IF(I12="","GBP",I12),FX_Code,0)),0))</f>
        <v/>
      </c>
      <c r="K12" s="33">
        <f>IF(ISNUMBER(G12),G12*J12,0)</f>
        <v/>
      </c>
      <c r="L12" s="34" t="n">
        <v>0.2</v>
      </c>
      <c r="M12" s="35" t="n">
        <v>14</v>
      </c>
      <c r="N12" s="36">
        <f>TODAY()+100</f>
        <v/>
      </c>
      <c r="O12" s="37" t="n"/>
      <c r="P12" s="37" t="n">
        <v>0</v>
      </c>
      <c r="Q12" s="38">
        <f>IF(OR(N12="",M12=""),"",INT(N12-IF(O12="",DefaultBuffer,O12)-M12*7-IF(P12="",DefaultApproval,P12)))</f>
        <v/>
      </c>
      <c r="R12" s="39">
        <f>IF(Q12="","",Q12-TODAY())</f>
        <v/>
      </c>
      <c r="S12" s="40">
        <f>IF(C12="","",IF(OR(T12="On hold",T12="Out of stock"),"Blocked",IF(ISNUMBER(MATCH(T12,OrderedStatuses,0)),"OK",IF(Q12="","Needs dates",IF(R12&lt;0,"Late",IF(R12&lt;=NudgeDays,"At risk","OK"))))))</f>
        <v/>
      </c>
      <c r="T12" s="29" t="inlineStr">
        <is>
          <t>Specified</t>
        </is>
      </c>
      <c r="U12" s="36" t="n"/>
      <c r="V12" s="29" t="n"/>
      <c r="W12" s="30" t="inlineStr">
        <is>
          <t>Sample. Quote valid 30 days.</t>
        </is>
      </c>
    </row>
    <row r="13">
      <c r="A13" s="28" t="inlineStr">
        <is>
          <t>DR-04</t>
        </is>
      </c>
      <c r="B13" s="29" t="inlineStr">
        <is>
          <t>Drawing room</t>
        </is>
      </c>
      <c r="C13" s="30" t="inlineStr">
        <is>
          <t>Coffee table</t>
        </is>
      </c>
      <c r="D13" s="30" t="inlineStr">
        <is>
          <t>Honed travertine top, 1200 × 700 mm</t>
        </is>
      </c>
      <c r="E13" s="29" t="inlineStr">
        <is>
          <t>Fenwick Stone &amp; Tile</t>
        </is>
      </c>
      <c r="F13" s="29" t="inlineStr">
        <is>
          <t>FST-CT-1270</t>
        </is>
      </c>
      <c r="G13" s="31" t="n">
        <v>1</v>
      </c>
      <c r="H13" s="32" t="n">
        <v>2200</v>
      </c>
      <c r="I13" s="29" t="inlineStr">
        <is>
          <t>GBP</t>
        </is>
      </c>
      <c r="J13" s="33">
        <f>IF(H13="",0,IFERROR(H13*INDEX(FX_Rate,MATCH(IF(I13="","GBP",I13),FX_Code,0)),0))</f>
        <v/>
      </c>
      <c r="K13" s="33">
        <f>IF(ISNUMBER(G13),G13*J13,0)</f>
        <v/>
      </c>
      <c r="L13" s="34" t="n">
        <v>0.2</v>
      </c>
      <c r="M13" s="35" t="n">
        <v>6</v>
      </c>
      <c r="N13" s="36">
        <f>TODAY()+100</f>
        <v/>
      </c>
      <c r="O13" s="37" t="n"/>
      <c r="P13" s="37" t="n">
        <v>0</v>
      </c>
      <c r="Q13" s="38">
        <f>IF(OR(N13="",M13=""),"",INT(N13-IF(O13="",DefaultBuffer,O13)-M13*7-IF(P13="",DefaultApproval,P13)))</f>
        <v/>
      </c>
      <c r="R13" s="39">
        <f>IF(Q13="","",Q13-TODAY())</f>
        <v/>
      </c>
      <c r="S13" s="40">
        <f>IF(C13="","",IF(OR(T13="On hold",T13="Out of stock"),"Blocked",IF(ISNUMBER(MATCH(T13,OrderedStatuses,0)),"OK",IF(Q13="","Needs dates",IF(R13&lt;0,"Late",IF(R13&lt;=NudgeDays,"At risk","OK"))))))</f>
        <v/>
      </c>
      <c r="T13" s="29" t="inlineStr">
        <is>
          <t>Approved</t>
        </is>
      </c>
      <c r="U13" s="36">
        <f>TODAY()-8</f>
        <v/>
      </c>
      <c r="V13" s="29" t="n"/>
      <c r="W13" s="30" t="inlineStr">
        <is>
          <t>Sample.</t>
        </is>
      </c>
    </row>
    <row r="14">
      <c r="A14" s="28" t="inlineStr">
        <is>
          <t>DR-05</t>
        </is>
      </c>
      <c r="B14" s="29" t="inlineStr">
        <is>
          <t>Drawing room</t>
        </is>
      </c>
      <c r="C14" s="30" t="inlineStr">
        <is>
          <t>Table lamps (pair)</t>
        </is>
      </c>
      <c r="D14" s="30" t="inlineStr">
        <is>
          <t>Glazed stoneware, celadon; linen drum shade</t>
        </is>
      </c>
      <c r="E14" s="29" t="inlineStr">
        <is>
          <t>Mesa Clayworks</t>
        </is>
      </c>
      <c r="F14" s="29" t="inlineStr">
        <is>
          <t>MC-TL-18</t>
        </is>
      </c>
      <c r="G14" s="31" t="n">
        <v>2</v>
      </c>
      <c r="H14" s="32" t="n">
        <v>640</v>
      </c>
      <c r="I14" s="29" t="inlineStr">
        <is>
          <t>USD</t>
        </is>
      </c>
      <c r="J14" s="33">
        <f>IF(H14="",0,IFERROR(H14*INDEX(FX_Rate,MATCH(IF(I14="","GBP",I14),FX_Code,0)),0))</f>
        <v/>
      </c>
      <c r="K14" s="33">
        <f>IF(ISNUMBER(G14),G14*J14,0)</f>
        <v/>
      </c>
      <c r="L14" s="34" t="n">
        <v>0.2</v>
      </c>
      <c r="M14" s="35" t="n">
        <v>8</v>
      </c>
      <c r="N14" s="36">
        <f>TODAY()+100</f>
        <v/>
      </c>
      <c r="O14" s="37" t="n"/>
      <c r="P14" s="37" t="n">
        <v>0</v>
      </c>
      <c r="Q14" s="38">
        <f>IF(OR(N14="",M14=""),"",INT(N14-IF(O14="",DefaultBuffer,O14)-M14*7-IF(P14="",DefaultApproval,P14)))</f>
        <v/>
      </c>
      <c r="R14" s="39">
        <f>IF(Q14="","",Q14-TODAY())</f>
        <v/>
      </c>
      <c r="S14" s="40">
        <f>IF(C14="","",IF(OR(T14="On hold",T14="Out of stock"),"Blocked",IF(ISNUMBER(MATCH(T14,OrderedStatuses,0)),"OK",IF(Q14="","Needs dates",IF(R14&lt;0,"Late",IF(R14&lt;=NudgeDays,"At risk","OK"))))))</f>
        <v/>
      </c>
      <c r="T14" s="29" t="inlineStr">
        <is>
          <t>Out of stock</t>
        </is>
      </c>
      <c r="U14" s="36">
        <f>TODAY()-12</f>
        <v/>
      </c>
      <c r="V14" s="29" t="n"/>
      <c r="W14" s="30" t="inlineStr">
        <is>
          <t>Sample. Supplier awaiting glaze batch; alternative requested.</t>
        </is>
      </c>
    </row>
    <row r="15">
      <c r="A15" s="28" t="inlineStr">
        <is>
          <t>DR-06</t>
        </is>
      </c>
      <c r="B15" s="29" t="inlineStr">
        <is>
          <t>Drawing room</t>
        </is>
      </c>
      <c r="C15" s="30" t="inlineStr">
        <is>
          <t>Rug</t>
        </is>
      </c>
      <c r="D15" s="30" t="inlineStr">
        <is>
          <t>Hand-knotted wool, 3000 × 4000 mm</t>
        </is>
      </c>
      <c r="E15" s="29" t="inlineStr">
        <is>
          <t>Halvard Textil</t>
        </is>
      </c>
      <c r="F15" s="29" t="inlineStr">
        <is>
          <t>HT-HK-3040</t>
        </is>
      </c>
      <c r="G15" s="31" t="n">
        <v>1</v>
      </c>
      <c r="H15" s="32" t="n">
        <v>74000</v>
      </c>
      <c r="I15" s="29" t="inlineStr">
        <is>
          <t>SEK</t>
        </is>
      </c>
      <c r="J15" s="33">
        <f>IF(H15="",0,IFERROR(H15*INDEX(FX_Rate,MATCH(IF(I15="","GBP",I15),FX_Code,0)),0))</f>
        <v/>
      </c>
      <c r="K15" s="33">
        <f>IF(ISNUMBER(G15),G15*J15,0)</f>
        <v/>
      </c>
      <c r="L15" s="34" t="n">
        <v>0.2</v>
      </c>
      <c r="M15" s="35" t="n">
        <v>16</v>
      </c>
      <c r="N15" s="36">
        <f>TODAY()+100</f>
        <v/>
      </c>
      <c r="O15" s="37" t="n"/>
      <c r="P15" s="37" t="n">
        <v>7</v>
      </c>
      <c r="Q15" s="38">
        <f>IF(OR(N15="",M15=""),"",INT(N15-IF(O15="",DefaultBuffer,O15)-M15*7-IF(P15="",DefaultApproval,P15)))</f>
        <v/>
      </c>
      <c r="R15" s="39">
        <f>IF(Q15="","",Q15-TODAY())</f>
        <v/>
      </c>
      <c r="S15" s="40">
        <f>IF(C15="","",IF(OR(T15="On hold",T15="Out of stock"),"Blocked",IF(ISNUMBER(MATCH(T15,OrderedStatuses,0)),"OK",IF(Q15="","Needs dates",IF(R15&lt;0,"Late",IF(R15&lt;=NudgeDays,"At risk","OK"))))))</f>
        <v/>
      </c>
      <c r="T15" s="29" t="inlineStr">
        <is>
          <t>Awaiting approval</t>
        </is>
      </c>
      <c r="U15" s="36" t="n"/>
      <c r="V15" s="29" t="n"/>
      <c r="W15" s="30" t="inlineStr">
        <is>
          <t>Sample. Strike-off due back from weaver.</t>
        </is>
      </c>
    </row>
    <row r="16">
      <c r="A16" s="28" t="inlineStr">
        <is>
          <t>DR-07</t>
        </is>
      </c>
      <c r="B16" s="29" t="inlineStr">
        <is>
          <t>Drawing room</t>
        </is>
      </c>
      <c r="C16" s="30" t="inlineStr">
        <is>
          <t>Curtains</t>
        </is>
      </c>
      <c r="D16" s="30" t="inlineStr">
        <is>
          <t>Made to measure, triple pinch pleat, interlined; 2 pairs</t>
        </is>
      </c>
      <c r="E16" s="29" t="inlineStr">
        <is>
          <t>Hartwell &amp; Rowe Upholstery</t>
        </is>
      </c>
      <c r="F16" s="29" t="inlineStr">
        <is>
          <t>HR-CU-TPP</t>
        </is>
      </c>
      <c r="G16" s="31" t="n">
        <v>2</v>
      </c>
      <c r="H16" s="32" t="n">
        <v>1850</v>
      </c>
      <c r="I16" s="29" t="inlineStr">
        <is>
          <t>GBP</t>
        </is>
      </c>
      <c r="J16" s="33">
        <f>IF(H16="",0,IFERROR(H16*INDEX(FX_Rate,MATCH(IF(I16="","GBP",I16),FX_Code,0)),0))</f>
        <v/>
      </c>
      <c r="K16" s="33">
        <f>IF(ISNUMBER(G16),G16*J16,0)</f>
        <v/>
      </c>
      <c r="L16" s="34" t="n">
        <v>0.2</v>
      </c>
      <c r="M16" s="35" t="n">
        <v>6</v>
      </c>
      <c r="N16" s="36">
        <f>TODAY()+100</f>
        <v/>
      </c>
      <c r="O16" s="37" t="n"/>
      <c r="P16" s="37" t="n">
        <v>0</v>
      </c>
      <c r="Q16" s="38">
        <f>IF(OR(N16="",M16=""),"",INT(N16-IF(O16="",DefaultBuffer,O16)-M16*7-IF(P16="",DefaultApproval,P16)))</f>
        <v/>
      </c>
      <c r="R16" s="39">
        <f>IF(Q16="","",Q16-TODAY())</f>
        <v/>
      </c>
      <c r="S16" s="40">
        <f>IF(C16="","",IF(OR(T16="On hold",T16="Out of stock"),"Blocked",IF(ISNUMBER(MATCH(T16,OrderedStatuses,0)),"OK",IF(Q16="","Needs dates",IF(R16&lt;0,"Late",IF(R16&lt;=NudgeDays,"At risk","OK"))))))</f>
        <v/>
      </c>
      <c r="T16" s="29" t="inlineStr">
        <is>
          <t>Specified</t>
        </is>
      </c>
      <c r="U16" s="36" t="n"/>
      <c r="V16" s="29" t="n"/>
      <c r="W16" s="30" t="inlineStr">
        <is>
          <t>Sample. Final measure after plastering.</t>
        </is>
      </c>
    </row>
    <row r="17">
      <c r="A17" s="28" t="inlineStr">
        <is>
          <t>KT-01</t>
        </is>
      </c>
      <c r="B17" s="29" t="inlineStr">
        <is>
          <t>Kitchen</t>
        </is>
      </c>
      <c r="C17" s="30" t="inlineStr">
        <is>
          <t>Bar stools</t>
        </is>
      </c>
      <c r="D17" s="30" t="inlineStr">
        <is>
          <t>Oak frame, rush seat, 750 mm seat height</t>
        </is>
      </c>
      <c r="E17" s="29" t="inlineStr">
        <is>
          <t>Casa Ferrante</t>
        </is>
      </c>
      <c r="F17" s="29" t="inlineStr">
        <is>
          <t>CF-BS-75</t>
        </is>
      </c>
      <c r="G17" s="31" t="n">
        <v>4</v>
      </c>
      <c r="H17" s="32" t="n">
        <v>690</v>
      </c>
      <c r="I17" s="29" t="inlineStr">
        <is>
          <t>EUR</t>
        </is>
      </c>
      <c r="J17" s="33">
        <f>IF(H17="",0,IFERROR(H17*INDEX(FX_Rate,MATCH(IF(I17="","GBP",I17),FX_Code,0)),0))</f>
        <v/>
      </c>
      <c r="K17" s="33">
        <f>IF(ISNUMBER(G17),G17*J17,0)</f>
        <v/>
      </c>
      <c r="L17" s="34" t="n">
        <v>0.2</v>
      </c>
      <c r="M17" s="35" t="n">
        <v>10</v>
      </c>
      <c r="N17" s="36">
        <f>TODAY()+45</f>
        <v/>
      </c>
      <c r="O17" s="37" t="n"/>
      <c r="P17" s="37" t="n">
        <v>0</v>
      </c>
      <c r="Q17" s="38">
        <f>IF(OR(N17="",M17=""),"",INT(N17-IF(O17="",DefaultBuffer,O17)-M17*7-IF(P17="",DefaultApproval,P17)))</f>
        <v/>
      </c>
      <c r="R17" s="39">
        <f>IF(Q17="","",Q17-TODAY())</f>
        <v/>
      </c>
      <c r="S17" s="40">
        <f>IF(C17="","",IF(OR(T17="On hold",T17="Out of stock"),"Blocked",IF(ISNUMBER(MATCH(T17,OrderedStatuses,0)),"OK",IF(Q17="","Needs dates",IF(R17&lt;0,"Late",IF(R17&lt;=NudgeDays,"At risk","OK"))))))</f>
        <v/>
      </c>
      <c r="T17" s="29" t="inlineStr">
        <is>
          <t>Shipped</t>
        </is>
      </c>
      <c r="U17" s="36">
        <f>TODAY()-75</f>
        <v/>
      </c>
      <c r="V17" s="29" t="inlineStr">
        <is>
          <t>PO-1003</t>
        </is>
      </c>
      <c r="W17" s="30" t="inlineStr">
        <is>
          <t>Sample. Tracking received; delivery to site.</t>
        </is>
      </c>
    </row>
    <row r="18">
      <c r="A18" s="28" t="inlineStr">
        <is>
          <t>KT-02</t>
        </is>
      </c>
      <c r="B18" s="29" t="inlineStr">
        <is>
          <t>Kitchen</t>
        </is>
      </c>
      <c r="C18" s="30" t="inlineStr">
        <is>
          <t>Island pendants</t>
        </is>
      </c>
      <c r="D18" s="30" t="inlineStr">
        <is>
          <t>Opal glass, Ø300 mm</t>
        </is>
      </c>
      <c r="E18" s="29" t="inlineStr">
        <is>
          <t>Lysgaard Studio</t>
        </is>
      </c>
      <c r="F18" s="29" t="inlineStr">
        <is>
          <t>LS-OP-300</t>
        </is>
      </c>
      <c r="G18" s="31" t="n">
        <v>3</v>
      </c>
      <c r="H18" s="32" t="n">
        <v>2400</v>
      </c>
      <c r="I18" s="29" t="inlineStr">
        <is>
          <t>DKK</t>
        </is>
      </c>
      <c r="J18" s="33">
        <f>IF(H18="",0,IFERROR(H18*INDEX(FX_Rate,MATCH(IF(I18="","GBP",I18),FX_Code,0)),0))</f>
        <v/>
      </c>
      <c r="K18" s="33">
        <f>IF(ISNUMBER(G18),G18*J18,0)</f>
        <v/>
      </c>
      <c r="L18" s="34" t="n">
        <v>0.2</v>
      </c>
      <c r="M18" s="35" t="n">
        <v>8</v>
      </c>
      <c r="N18" s="36">
        <f>TODAY()+45</f>
        <v/>
      </c>
      <c r="O18" s="37" t="n"/>
      <c r="P18" s="37" t="n">
        <v>0</v>
      </c>
      <c r="Q18" s="38">
        <f>IF(OR(N18="",M18=""),"",INT(N18-IF(O18="",DefaultBuffer,O18)-M18*7-IF(P18="",DefaultApproval,P18)))</f>
        <v/>
      </c>
      <c r="R18" s="39">
        <f>IF(Q18="","",Q18-TODAY())</f>
        <v/>
      </c>
      <c r="S18" s="40">
        <f>IF(C18="","",IF(OR(T18="On hold",T18="Out of stock"),"Blocked",IF(ISNUMBER(MATCH(T18,OrderedStatuses,0)),"OK",IF(Q18="","Needs dates",IF(R18&lt;0,"Late",IF(R18&lt;=NudgeDays,"At risk","OK"))))))</f>
        <v/>
      </c>
      <c r="T18" s="29" t="inlineStr">
        <is>
          <t>Ordered</t>
        </is>
      </c>
      <c r="U18" s="36">
        <f>TODAY()-65</f>
        <v/>
      </c>
      <c r="V18" s="29" t="inlineStr">
        <is>
          <t>PO-1004</t>
        </is>
      </c>
      <c r="W18" s="30" t="inlineStr">
        <is>
          <t>Sample.</t>
        </is>
      </c>
    </row>
    <row r="19">
      <c r="A19" s="28" t="inlineStr">
        <is>
          <t>KT-03</t>
        </is>
      </c>
      <c r="B19" s="29" t="inlineStr">
        <is>
          <t>Kitchen</t>
        </is>
      </c>
      <c r="C19" s="30" t="inlineStr">
        <is>
          <t>Cabinet handles</t>
        </is>
      </c>
      <c r="D19" s="30" t="inlineStr">
        <is>
          <t>Unlacquered brass bar pull, 160 mm centres</t>
        </is>
      </c>
      <c r="E19" s="29" t="inlineStr">
        <is>
          <t>Ostrander Brass Co.</t>
        </is>
      </c>
      <c r="F19" s="29" t="inlineStr">
        <is>
          <t>OB-PL-160</t>
        </is>
      </c>
      <c r="G19" s="31" t="n">
        <v>24</v>
      </c>
      <c r="H19" s="32" t="n">
        <v>38</v>
      </c>
      <c r="I19" s="29" t="inlineStr">
        <is>
          <t>USD</t>
        </is>
      </c>
      <c r="J19" s="33">
        <f>IF(H19="",0,IFERROR(H19*INDEX(FX_Rate,MATCH(IF(I19="","GBP",I19),FX_Code,0)),0))</f>
        <v/>
      </c>
      <c r="K19" s="33">
        <f>IF(ISNUMBER(G19),G19*J19,0)</f>
        <v/>
      </c>
      <c r="L19" s="34" t="n">
        <v>0.2</v>
      </c>
      <c r="M19" s="35" t="n">
        <v>10</v>
      </c>
      <c r="N19" s="36">
        <f>TODAY()+45</f>
        <v/>
      </c>
      <c r="O19" s="37" t="n"/>
      <c r="P19" s="37" t="n">
        <v>0</v>
      </c>
      <c r="Q19" s="38">
        <f>IF(OR(N19="",M19=""),"",INT(N19-IF(O19="",DefaultBuffer,O19)-M19*7-IF(P19="",DefaultApproval,P19)))</f>
        <v/>
      </c>
      <c r="R19" s="39">
        <f>IF(Q19="","",Q19-TODAY())</f>
        <v/>
      </c>
      <c r="S19" s="40">
        <f>IF(C19="","",IF(OR(T19="On hold",T19="Out of stock"),"Blocked",IF(ISNUMBER(MATCH(T19,OrderedStatuses,0)),"OK",IF(Q19="","Needs dates",IF(R19&lt;0,"Late",IF(R19&lt;=NudgeDays,"At risk","OK"))))))</f>
        <v/>
      </c>
      <c r="T19" s="29" t="inlineStr">
        <is>
          <t>Approved</t>
        </is>
      </c>
      <c r="U19" s="36">
        <f>TODAY()-15</f>
        <v/>
      </c>
      <c r="V19" s="29" t="n"/>
      <c r="W19" s="30" t="inlineStr">
        <is>
          <t>Sample. Joiner needs handles before final fit.</t>
        </is>
      </c>
    </row>
    <row r="20">
      <c r="A20" s="28" t="inlineStr">
        <is>
          <t>KT-04</t>
        </is>
      </c>
      <c r="B20" s="29" t="inlineStr">
        <is>
          <t>Kitchen</t>
        </is>
      </c>
      <c r="C20" s="30" t="inlineStr">
        <is>
          <t>Splashback tiles</t>
        </is>
      </c>
      <c r="D20" s="30" t="inlineStr">
        <is>
          <t>Glazed handmade tile, 100 × 100 mm, chalk (m²)</t>
        </is>
      </c>
      <c r="E20" s="29" t="inlineStr">
        <is>
          <t>Fenwick Stone &amp; Tile</t>
        </is>
      </c>
      <c r="F20" s="29" t="inlineStr">
        <is>
          <t>FST-ZL-CH</t>
        </is>
      </c>
      <c r="G20" s="31" t="n">
        <v>6</v>
      </c>
      <c r="H20" s="32" t="n">
        <v>145</v>
      </c>
      <c r="I20" s="29" t="inlineStr">
        <is>
          <t>GBP</t>
        </is>
      </c>
      <c r="J20" s="33">
        <f>IF(H20="",0,IFERROR(H20*INDEX(FX_Rate,MATCH(IF(I20="","GBP",I20),FX_Code,0)),0))</f>
        <v/>
      </c>
      <c r="K20" s="33">
        <f>IF(ISNUMBER(G20),G20*J20,0)</f>
        <v/>
      </c>
      <c r="L20" s="34" t="n">
        <v>0.2</v>
      </c>
      <c r="M20" s="35" t="n">
        <v>4</v>
      </c>
      <c r="N20" s="36">
        <f>TODAY()+45</f>
        <v/>
      </c>
      <c r="O20" s="37" t="n"/>
      <c r="P20" s="37" t="n">
        <v>0</v>
      </c>
      <c r="Q20" s="38">
        <f>IF(OR(N20="",M20=""),"",INT(N20-IF(O20="",DefaultBuffer,O20)-M20*7-IF(P20="",DefaultApproval,P20)))</f>
        <v/>
      </c>
      <c r="R20" s="39">
        <f>IF(Q20="","",Q20-TODAY())</f>
        <v/>
      </c>
      <c r="S20" s="40">
        <f>IF(C20="","",IF(OR(T20="On hold",T20="Out of stock"),"Blocked",IF(ISNUMBER(MATCH(T20,OrderedStatuses,0)),"OK",IF(Q20="","Needs dates",IF(R20&lt;0,"Late",IF(R20&lt;=NudgeDays,"At risk","OK"))))))</f>
        <v/>
      </c>
      <c r="T20" s="29" t="inlineStr">
        <is>
          <t>Approved</t>
        </is>
      </c>
      <c r="U20" s="36">
        <f>TODAY()-6</f>
        <v/>
      </c>
      <c r="V20" s="29" t="n"/>
      <c r="W20" s="30" t="inlineStr">
        <is>
          <t>Sample. Order 10% overage for cuts.</t>
        </is>
      </c>
    </row>
    <row r="21">
      <c r="A21" s="28" t="inlineStr">
        <is>
          <t>DN-01</t>
        </is>
      </c>
      <c r="B21" s="29" t="inlineStr">
        <is>
          <t>Dining room</t>
        </is>
      </c>
      <c r="C21" s="30" t="inlineStr">
        <is>
          <t>Dining table</t>
        </is>
      </c>
      <c r="D21" s="30" t="inlineStr">
        <is>
          <t>Extending, ebonised oak, 2200–3000 mm</t>
        </is>
      </c>
      <c r="E21" s="29" t="inlineStr">
        <is>
          <t>Marlow Joinery Workshop</t>
        </is>
      </c>
      <c r="F21" s="29" t="inlineStr">
        <is>
          <t>MJW-DT-2230</t>
        </is>
      </c>
      <c r="G21" s="31" t="n">
        <v>1</v>
      </c>
      <c r="H21" s="32" t="n">
        <v>5600</v>
      </c>
      <c r="I21" s="29" t="inlineStr">
        <is>
          <t>GBP</t>
        </is>
      </c>
      <c r="J21" s="33">
        <f>IF(H21="",0,IFERROR(H21*INDEX(FX_Rate,MATCH(IF(I21="","GBP",I21),FX_Code,0)),0))</f>
        <v/>
      </c>
      <c r="K21" s="33">
        <f>IF(ISNUMBER(G21),G21*J21,0)</f>
        <v/>
      </c>
      <c r="L21" s="34" t="n">
        <v>0.2</v>
      </c>
      <c r="M21" s="35" t="n">
        <v>10</v>
      </c>
      <c r="N21" s="36">
        <f>TODAY()+100</f>
        <v/>
      </c>
      <c r="O21" s="37" t="n"/>
      <c r="P21" s="37" t="n">
        <v>0</v>
      </c>
      <c r="Q21" s="38">
        <f>IF(OR(N21="",M21=""),"",INT(N21-IF(O21="",DefaultBuffer,O21)-M21*7-IF(P21="",DefaultApproval,P21)))</f>
        <v/>
      </c>
      <c r="R21" s="39">
        <f>IF(Q21="","",Q21-TODAY())</f>
        <v/>
      </c>
      <c r="S21" s="40">
        <f>IF(C21="","",IF(OR(T21="On hold",T21="Out of stock"),"Blocked",IF(ISNUMBER(MATCH(T21,OrderedStatuses,0)),"OK",IF(Q21="","Needs dates",IF(R21&lt;0,"Late",IF(R21&lt;=NudgeDays,"At risk","OK"))))))</f>
        <v/>
      </c>
      <c r="T21" s="29" t="inlineStr">
        <is>
          <t>Approved</t>
        </is>
      </c>
      <c r="U21" s="36">
        <f>TODAY()-4</f>
        <v/>
      </c>
      <c r="V21" s="29" t="n"/>
      <c r="W21" s="30" t="inlineStr">
        <is>
          <t>Sample.</t>
        </is>
      </c>
    </row>
    <row r="22">
      <c r="A22" s="28" t="inlineStr">
        <is>
          <t>DN-02</t>
        </is>
      </c>
      <c r="B22" s="29" t="inlineStr">
        <is>
          <t>Dining room</t>
        </is>
      </c>
      <c r="C22" s="30" t="inlineStr">
        <is>
          <t>Dining chairs</t>
        </is>
      </c>
      <c r="D22" s="30" t="inlineStr">
        <is>
          <t>Upholstered seat in client's own fabric</t>
        </is>
      </c>
      <c r="E22" s="29" t="inlineStr">
        <is>
          <t>Casa Ferrante</t>
        </is>
      </c>
      <c r="F22" s="29" t="inlineStr">
        <is>
          <t>CF-DC-48</t>
        </is>
      </c>
      <c r="G22" s="31" t="n">
        <v>8</v>
      </c>
      <c r="H22" s="32" t="n">
        <v>540</v>
      </c>
      <c r="I22" s="29" t="inlineStr">
        <is>
          <t>EUR</t>
        </is>
      </c>
      <c r="J22" s="33">
        <f>IF(H22="",0,IFERROR(H22*INDEX(FX_Rate,MATCH(IF(I22="","GBP",I22),FX_Code,0)),0))</f>
        <v/>
      </c>
      <c r="K22" s="33">
        <f>IF(ISNUMBER(G22),G22*J22,0)</f>
        <v/>
      </c>
      <c r="L22" s="34" t="n">
        <v>0.2</v>
      </c>
      <c r="M22" s="35" t="n">
        <v>14</v>
      </c>
      <c r="N22" s="36">
        <f>TODAY()+100</f>
        <v/>
      </c>
      <c r="O22" s="37" t="n"/>
      <c r="P22" s="37" t="n">
        <v>0</v>
      </c>
      <c r="Q22" s="38">
        <f>IF(OR(N22="",M22=""),"",INT(N22-IF(O22="",DefaultBuffer,O22)-M22*7-IF(P22="",DefaultApproval,P22)))</f>
        <v/>
      </c>
      <c r="R22" s="39">
        <f>IF(Q22="","",Q22-TODAY())</f>
        <v/>
      </c>
      <c r="S22" s="40">
        <f>IF(C22="","",IF(OR(T22="On hold",T22="Out of stock"),"Blocked",IF(ISNUMBER(MATCH(T22,OrderedStatuses,0)),"OK",IF(Q22="","Needs dates",IF(R22&lt;0,"Late",IF(R22&lt;=NudgeDays,"At risk","OK"))))))</f>
        <v/>
      </c>
      <c r="T22" s="29" t="inlineStr">
        <is>
          <t>In production</t>
        </is>
      </c>
      <c r="U22" s="36">
        <f>TODAY()-50</f>
        <v/>
      </c>
      <c r="V22" s="29" t="inlineStr">
        <is>
          <t>PO-1005</t>
        </is>
      </c>
      <c r="W22" s="30" t="inlineStr">
        <is>
          <t>Sample. Fabric dispatched to factory.</t>
        </is>
      </c>
    </row>
    <row r="23">
      <c r="A23" s="28" t="inlineStr">
        <is>
          <t>DN-03</t>
        </is>
      </c>
      <c r="B23" s="29" t="inlineStr">
        <is>
          <t>Dining room</t>
        </is>
      </c>
      <c r="C23" s="30" t="inlineStr">
        <is>
          <t>Chandelier</t>
        </is>
      </c>
      <c r="D23" s="30" t="inlineStr">
        <is>
          <t>Brass and alabaster, 8-arm, Ø900 mm</t>
        </is>
      </c>
      <c r="E23" s="29" t="inlineStr">
        <is>
          <t>Atelier Morvan</t>
        </is>
      </c>
      <c r="F23" s="29" t="inlineStr">
        <is>
          <t>AM-CH-8A</t>
        </is>
      </c>
      <c r="G23" s="31" t="n">
        <v>1</v>
      </c>
      <c r="H23" s="32" t="n">
        <v>7400</v>
      </c>
      <c r="I23" s="29" t="inlineStr">
        <is>
          <t>EUR</t>
        </is>
      </c>
      <c r="J23" s="33">
        <f>IF(H23="",0,IFERROR(H23*INDEX(FX_Rate,MATCH(IF(I23="","GBP",I23),FX_Code,0)),0))</f>
        <v/>
      </c>
      <c r="K23" s="33">
        <f>IF(ISNUMBER(G23),G23*J23,0)</f>
        <v/>
      </c>
      <c r="L23" s="34" t="n">
        <v>0.2</v>
      </c>
      <c r="M23" s="35" t="n">
        <v>12</v>
      </c>
      <c r="N23" s="36">
        <f>TODAY()+100</f>
        <v/>
      </c>
      <c r="O23" s="37" t="n"/>
      <c r="P23" s="37" t="n">
        <v>5</v>
      </c>
      <c r="Q23" s="38">
        <f>IF(OR(N23="",M23=""),"",INT(N23-IF(O23="",DefaultBuffer,O23)-M23*7-IF(P23="",DefaultApproval,P23)))</f>
        <v/>
      </c>
      <c r="R23" s="39">
        <f>IF(Q23="","",Q23-TODAY())</f>
        <v/>
      </c>
      <c r="S23" s="40">
        <f>IF(C23="","",IF(OR(T23="On hold",T23="Out of stock"),"Blocked",IF(ISNUMBER(MATCH(T23,OrderedStatuses,0)),"OK",IF(Q23="","Needs dates",IF(R23&lt;0,"Late",IF(R23&lt;=NudgeDays,"At risk","OK"))))))</f>
        <v/>
      </c>
      <c r="T23" s="29" t="inlineStr">
        <is>
          <t>Awaiting approval</t>
        </is>
      </c>
      <c r="U23" s="36" t="n"/>
      <c r="V23" s="29" t="n"/>
      <c r="W23" s="30" t="inlineStr">
        <is>
          <t>Sample. Structural engineer to confirm ceiling load.</t>
        </is>
      </c>
    </row>
    <row r="24">
      <c r="A24" s="28" t="inlineStr">
        <is>
          <t>DN-04</t>
        </is>
      </c>
      <c r="B24" s="29" t="inlineStr">
        <is>
          <t>Dining room</t>
        </is>
      </c>
      <c r="C24" s="30" t="inlineStr">
        <is>
          <t>Sideboard</t>
        </is>
      </c>
      <c r="D24" s="30" t="inlineStr">
        <is>
          <t>Antique mahogany, approx. 1850 mm</t>
        </is>
      </c>
      <c r="E24" s="29" t="inlineStr">
        <is>
          <t>Thornbury Antiques</t>
        </is>
      </c>
      <c r="F24" s="29" t="inlineStr">
        <is>
          <t>TA-1203</t>
        </is>
      </c>
      <c r="G24" s="31" t="n">
        <v>1</v>
      </c>
      <c r="H24" s="32" t="n">
        <v>3800</v>
      </c>
      <c r="I24" s="29" t="inlineStr">
        <is>
          <t>GBP</t>
        </is>
      </c>
      <c r="J24" s="33">
        <f>IF(H24="",0,IFERROR(H24*INDEX(FX_Rate,MATCH(IF(I24="","GBP",I24),FX_Code,0)),0))</f>
        <v/>
      </c>
      <c r="K24" s="33">
        <f>IF(ISNUMBER(G24),G24*J24,0)</f>
        <v/>
      </c>
      <c r="L24" s="34" t="n">
        <v>0.2</v>
      </c>
      <c r="M24" s="35" t="n">
        <v>1</v>
      </c>
      <c r="N24" s="36">
        <f>TODAY()+100</f>
        <v/>
      </c>
      <c r="O24" s="37" t="n"/>
      <c r="P24" s="37" t="n">
        <v>0</v>
      </c>
      <c r="Q24" s="38">
        <f>IF(OR(N24="",M24=""),"",INT(N24-IF(O24="",DefaultBuffer,O24)-M24*7-IF(P24="",DefaultApproval,P24)))</f>
        <v/>
      </c>
      <c r="R24" s="39">
        <f>IF(Q24="","",Q24-TODAY())</f>
        <v/>
      </c>
      <c r="S24" s="40">
        <f>IF(C24="","",IF(OR(T24="On hold",T24="Out of stock"),"Blocked",IF(ISNUMBER(MATCH(T24,OrderedStatuses,0)),"OK",IF(Q24="","Needs dates",IF(R24&lt;0,"Late",IF(R24&lt;=NudgeDays,"At risk","OK"))))))</f>
        <v/>
      </c>
      <c r="T24" s="29" t="inlineStr">
        <is>
          <t>On hold</t>
        </is>
      </c>
      <c r="U24" s="36" t="n"/>
      <c r="V24" s="29" t="n"/>
      <c r="W24" s="30" t="inlineStr">
        <is>
          <t>Sample. Client deciding between two pieces.</t>
        </is>
      </c>
    </row>
    <row r="25">
      <c r="A25" s="28" t="inlineStr">
        <is>
          <t>PB-01</t>
        </is>
      </c>
      <c r="B25" s="29" t="inlineStr">
        <is>
          <t>Principal bedroom</t>
        </is>
      </c>
      <c r="C25" s="30" t="inlineStr">
        <is>
          <t>Bed</t>
        </is>
      </c>
      <c r="D25" s="30" t="inlineStr">
        <is>
          <t>Upholstered headboard, super king 1800 × 2000 mm</t>
        </is>
      </c>
      <c r="E25" s="29" t="inlineStr">
        <is>
          <t>Hartwell &amp; Rowe Upholstery</t>
        </is>
      </c>
      <c r="F25" s="29" t="inlineStr">
        <is>
          <t>HR-BD-SK</t>
        </is>
      </c>
      <c r="G25" s="31" t="n">
        <v>1</v>
      </c>
      <c r="H25" s="32" t="n">
        <v>4200</v>
      </c>
      <c r="I25" s="29" t="inlineStr">
        <is>
          <t>GBP</t>
        </is>
      </c>
      <c r="J25" s="33">
        <f>IF(H25="",0,IFERROR(H25*INDEX(FX_Rate,MATCH(IF(I25="","GBP",I25),FX_Code,0)),0))</f>
        <v/>
      </c>
      <c r="K25" s="33">
        <f>IF(ISNUMBER(G25),G25*J25,0)</f>
        <v/>
      </c>
      <c r="L25" s="34" t="n">
        <v>0.2</v>
      </c>
      <c r="M25" s="35" t="n">
        <v>10</v>
      </c>
      <c r="N25" s="36">
        <f>TODAY()+150</f>
        <v/>
      </c>
      <c r="O25" s="37" t="n"/>
      <c r="P25" s="37" t="n">
        <v>0</v>
      </c>
      <c r="Q25" s="38">
        <f>IF(OR(N25="",M25=""),"",INT(N25-IF(O25="",DefaultBuffer,O25)-M25*7-IF(P25="",DefaultApproval,P25)))</f>
        <v/>
      </c>
      <c r="R25" s="39">
        <f>IF(Q25="","",Q25-TODAY())</f>
        <v/>
      </c>
      <c r="S25" s="40">
        <f>IF(C25="","",IF(OR(T25="On hold",T25="Out of stock"),"Blocked",IF(ISNUMBER(MATCH(T25,OrderedStatuses,0)),"OK",IF(Q25="","Needs dates",IF(R25&lt;0,"Late",IF(R25&lt;=NudgeDays,"At risk","OK"))))))</f>
        <v/>
      </c>
      <c r="T25" s="29" t="inlineStr">
        <is>
          <t>Specified</t>
        </is>
      </c>
      <c r="U25" s="36" t="n"/>
      <c r="V25" s="29" t="n"/>
      <c r="W25" s="30" t="inlineStr">
        <is>
          <t>Sample.</t>
        </is>
      </c>
    </row>
    <row r="26">
      <c r="A26" s="28" t="inlineStr">
        <is>
          <t>PB-02</t>
        </is>
      </c>
      <c r="B26" s="29" t="inlineStr">
        <is>
          <t>Principal bedroom</t>
        </is>
      </c>
      <c r="C26" s="30" t="inlineStr">
        <is>
          <t>Bedside tables</t>
        </is>
      </c>
      <c r="D26" s="30" t="inlineStr">
        <is>
          <t>Lacquered ash, one drawer</t>
        </is>
      </c>
      <c r="E26" s="29" t="inlineStr">
        <is>
          <t>Marlow Joinery Workshop</t>
        </is>
      </c>
      <c r="F26" s="29" t="inlineStr">
        <is>
          <t>MJW-BS-02</t>
        </is>
      </c>
      <c r="G26" s="31" t="n">
        <v>2</v>
      </c>
      <c r="H26" s="32" t="n">
        <v>1350</v>
      </c>
      <c r="I26" s="29" t="inlineStr">
        <is>
          <t>GBP</t>
        </is>
      </c>
      <c r="J26" s="33">
        <f>IF(H26="",0,IFERROR(H26*INDEX(FX_Rate,MATCH(IF(I26="","GBP",I26),FX_Code,0)),0))</f>
        <v/>
      </c>
      <c r="K26" s="33">
        <f>IF(ISNUMBER(G26),G26*J26,0)</f>
        <v/>
      </c>
      <c r="L26" s="34" t="n">
        <v>0.2</v>
      </c>
      <c r="M26" s="35" t="n">
        <v>8</v>
      </c>
      <c r="N26" s="36">
        <f>TODAY()+150</f>
        <v/>
      </c>
      <c r="O26" s="37" t="n"/>
      <c r="P26" s="37" t="n">
        <v>0</v>
      </c>
      <c r="Q26" s="38">
        <f>IF(OR(N26="",M26=""),"",INT(N26-IF(O26="",DefaultBuffer,O26)-M26*7-IF(P26="",DefaultApproval,P26)))</f>
        <v/>
      </c>
      <c r="R26" s="39">
        <f>IF(Q26="","",Q26-TODAY())</f>
        <v/>
      </c>
      <c r="S26" s="40">
        <f>IF(C26="","",IF(OR(T26="On hold",T26="Out of stock"),"Blocked",IF(ISNUMBER(MATCH(T26,OrderedStatuses,0)),"OK",IF(Q26="","Needs dates",IF(R26&lt;0,"Late",IF(R26&lt;=NudgeDays,"At risk","OK"))))))</f>
        <v/>
      </c>
      <c r="T26" s="29" t="inlineStr">
        <is>
          <t>Specified</t>
        </is>
      </c>
      <c r="U26" s="36" t="n"/>
      <c r="V26" s="29" t="n"/>
      <c r="W26" s="30" t="inlineStr">
        <is>
          <t>Sample.</t>
        </is>
      </c>
    </row>
    <row r="27">
      <c r="A27" s="28" t="inlineStr">
        <is>
          <t>PB-03</t>
        </is>
      </c>
      <c r="B27" s="29" t="inlineStr">
        <is>
          <t>Principal bedroom</t>
        </is>
      </c>
      <c r="C27" s="30" t="inlineStr">
        <is>
          <t>Wall lights</t>
        </is>
      </c>
      <c r="D27" s="30" t="inlineStr">
        <is>
          <t>Plaster uplighter, paintable</t>
        </is>
      </c>
      <c r="E27" s="29" t="inlineStr">
        <is>
          <t>Lysgaard Studio</t>
        </is>
      </c>
      <c r="F27" s="29" t="inlineStr">
        <is>
          <t>LS-WL-PL</t>
        </is>
      </c>
      <c r="G27" s="31" t="n">
        <v>4</v>
      </c>
      <c r="H27" s="32" t="n">
        <v>1650</v>
      </c>
      <c r="I27" s="29" t="inlineStr">
        <is>
          <t>DKK</t>
        </is>
      </c>
      <c r="J27" s="33">
        <f>IF(H27="",0,IFERROR(H27*INDEX(FX_Rate,MATCH(IF(I27="","GBP",I27),FX_Code,0)),0))</f>
        <v/>
      </c>
      <c r="K27" s="33">
        <f>IF(ISNUMBER(G27),G27*J27,0)</f>
        <v/>
      </c>
      <c r="L27" s="34" t="n">
        <v>0.2</v>
      </c>
      <c r="M27" s="35" t="n">
        <v>8</v>
      </c>
      <c r="N27" s="36">
        <f>TODAY()+150</f>
        <v/>
      </c>
      <c r="O27" s="37" t="n"/>
      <c r="P27" s="37" t="n">
        <v>0</v>
      </c>
      <c r="Q27" s="38">
        <f>IF(OR(N27="",M27=""),"",INT(N27-IF(O27="",DefaultBuffer,O27)-M27*7-IF(P27="",DefaultApproval,P27)))</f>
        <v/>
      </c>
      <c r="R27" s="39">
        <f>IF(Q27="","",Q27-TODAY())</f>
        <v/>
      </c>
      <c r="S27" s="40">
        <f>IF(C27="","",IF(OR(T27="On hold",T27="Out of stock"),"Blocked",IF(ISNUMBER(MATCH(T27,OrderedStatuses,0)),"OK",IF(Q27="","Needs dates",IF(R27&lt;0,"Late",IF(R27&lt;=NudgeDays,"At risk","OK"))))))</f>
        <v/>
      </c>
      <c r="T27" s="29" t="inlineStr">
        <is>
          <t>Approved</t>
        </is>
      </c>
      <c r="U27" s="36">
        <f>TODAY()-3</f>
        <v/>
      </c>
      <c r="V27" s="29" t="n"/>
      <c r="W27" s="30" t="inlineStr">
        <is>
          <t>Sample. First fix wiring positions issued.</t>
        </is>
      </c>
    </row>
    <row r="28">
      <c r="A28" s="28" t="inlineStr">
        <is>
          <t>PB-04</t>
        </is>
      </c>
      <c r="B28" s="29" t="inlineStr">
        <is>
          <t>Principal bedroom</t>
        </is>
      </c>
      <c r="C28" s="30" t="inlineStr">
        <is>
          <t>Wallpaper</t>
        </is>
      </c>
      <c r="D28" s="30" t="inlineStr">
        <is>
          <t>Hand-printed, 10 m rolls</t>
        </is>
      </c>
      <c r="E28" s="29" t="inlineStr">
        <is>
          <t>Pell &amp; Hart Papers</t>
        </is>
      </c>
      <c r="F28" s="29" t="inlineStr">
        <is>
          <t>PH-HP-210</t>
        </is>
      </c>
      <c r="G28" s="31" t="n">
        <v>9</v>
      </c>
      <c r="H28" s="32" t="n">
        <v>165</v>
      </c>
      <c r="I28" s="29" t="inlineStr">
        <is>
          <t>GBP</t>
        </is>
      </c>
      <c r="J28" s="33">
        <f>IF(H28="",0,IFERROR(H28*INDEX(FX_Rate,MATCH(IF(I28="","GBP",I28),FX_Code,0)),0))</f>
        <v/>
      </c>
      <c r="K28" s="33">
        <f>IF(ISNUMBER(G28),G28*J28,0)</f>
        <v/>
      </c>
      <c r="L28" s="34" t="n">
        <v>0.2</v>
      </c>
      <c r="M28" s="35" t="n">
        <v>5</v>
      </c>
      <c r="N28" s="36">
        <f>TODAY()+130</f>
        <v/>
      </c>
      <c r="O28" s="37" t="n"/>
      <c r="P28" s="37" t="n">
        <v>0</v>
      </c>
      <c r="Q28" s="38">
        <f>IF(OR(N28="",M28=""),"",INT(N28-IF(O28="",DefaultBuffer,O28)-M28*7-IF(P28="",DefaultApproval,P28)))</f>
        <v/>
      </c>
      <c r="R28" s="39">
        <f>IF(Q28="","",Q28-TODAY())</f>
        <v/>
      </c>
      <c r="S28" s="40">
        <f>IF(C28="","",IF(OR(T28="On hold",T28="Out of stock"),"Blocked",IF(ISNUMBER(MATCH(T28,OrderedStatuses,0)),"OK",IF(Q28="","Needs dates",IF(R28&lt;0,"Late",IF(R28&lt;=NudgeDays,"At risk","OK"))))))</f>
        <v/>
      </c>
      <c r="T28" s="29" t="inlineStr">
        <is>
          <t>Specified</t>
        </is>
      </c>
      <c r="U28" s="36" t="n"/>
      <c r="V28" s="29" t="n"/>
      <c r="W28" s="30" t="inlineStr">
        <is>
          <t>Sample. Decorator hangs before furniture arrives.</t>
        </is>
      </c>
    </row>
    <row r="29">
      <c r="A29" s="28" t="inlineStr">
        <is>
          <t>PB-05</t>
        </is>
      </c>
      <c r="B29" s="29" t="inlineStr">
        <is>
          <t>Principal bedroom</t>
        </is>
      </c>
      <c r="C29" s="30" t="inlineStr">
        <is>
          <t>Rug</t>
        </is>
      </c>
      <c r="D29" s="30" t="inlineStr">
        <is>
          <t>Wool and silk, 2500 × 3000 mm</t>
        </is>
      </c>
      <c r="E29" s="29" t="inlineStr">
        <is>
          <t>Halvard Textil</t>
        </is>
      </c>
      <c r="F29" s="29" t="inlineStr">
        <is>
          <t>HT-WS-2530</t>
        </is>
      </c>
      <c r="G29" s="31" t="n">
        <v>1</v>
      </c>
      <c r="H29" s="32" t="n">
        <v>39000</v>
      </c>
      <c r="I29" s="29" t="inlineStr">
        <is>
          <t>SEK</t>
        </is>
      </c>
      <c r="J29" s="33">
        <f>IF(H29="",0,IFERROR(H29*INDEX(FX_Rate,MATCH(IF(I29="","GBP",I29),FX_Code,0)),0))</f>
        <v/>
      </c>
      <c r="K29" s="33">
        <f>IF(ISNUMBER(G29),G29*J29,0)</f>
        <v/>
      </c>
      <c r="L29" s="34" t="n">
        <v>0.2</v>
      </c>
      <c r="M29" s="35" t="n">
        <v>14</v>
      </c>
      <c r="N29" s="36">
        <f>TODAY()+150</f>
        <v/>
      </c>
      <c r="O29" s="37" t="n"/>
      <c r="P29" s="37" t="n">
        <v>7</v>
      </c>
      <c r="Q29" s="38">
        <f>IF(OR(N29="",M29=""),"",INT(N29-IF(O29="",DefaultBuffer,O29)-M29*7-IF(P29="",DefaultApproval,P29)))</f>
        <v/>
      </c>
      <c r="R29" s="39">
        <f>IF(Q29="","",Q29-TODAY())</f>
        <v/>
      </c>
      <c r="S29" s="40">
        <f>IF(C29="","",IF(OR(T29="On hold",T29="Out of stock"),"Blocked",IF(ISNUMBER(MATCH(T29,OrderedStatuses,0)),"OK",IF(Q29="","Needs dates",IF(R29&lt;0,"Late",IF(R29&lt;=NudgeDays,"At risk","OK"))))))</f>
        <v/>
      </c>
      <c r="T29" s="29" t="inlineStr">
        <is>
          <t>Awaiting approval</t>
        </is>
      </c>
      <c r="U29" s="36" t="n"/>
      <c r="V29" s="29" t="n"/>
      <c r="W29" s="30" t="inlineStr">
        <is>
          <t>Sample.</t>
        </is>
      </c>
    </row>
    <row r="30">
      <c r="A30" s="28" t="inlineStr">
        <is>
          <t>BA-01</t>
        </is>
      </c>
      <c r="B30" s="29" t="inlineStr">
        <is>
          <t>Principal bathroom</t>
        </is>
      </c>
      <c r="C30" s="30" t="inlineStr">
        <is>
          <t>Freestanding bath</t>
        </is>
      </c>
      <c r="D30" s="30" t="inlineStr">
        <is>
          <t>Cast iron, 1700 mm, painted exterior</t>
        </is>
      </c>
      <c r="E30" s="29" t="inlineStr">
        <is>
          <t>Kittle Bathrooms</t>
        </is>
      </c>
      <c r="F30" s="29" t="inlineStr">
        <is>
          <t>KB-FB-1700</t>
        </is>
      </c>
      <c r="G30" s="31" t="n">
        <v>1</v>
      </c>
      <c r="H30" s="32" t="n">
        <v>3950</v>
      </c>
      <c r="I30" s="29" t="inlineStr">
        <is>
          <t>GBP</t>
        </is>
      </c>
      <c r="J30" s="33">
        <f>IF(H30="",0,IFERROR(H30*INDEX(FX_Rate,MATCH(IF(I30="","GBP",I30),FX_Code,0)),0))</f>
        <v/>
      </c>
      <c r="K30" s="33">
        <f>IF(ISNUMBER(G30),G30*J30,0)</f>
        <v/>
      </c>
      <c r="L30" s="34" t="n">
        <v>0.2</v>
      </c>
      <c r="M30" s="35" t="n">
        <v>6</v>
      </c>
      <c r="N30" s="36">
        <f>TODAY()+45</f>
        <v/>
      </c>
      <c r="O30" s="37" t="n"/>
      <c r="P30" s="37" t="n">
        <v>0</v>
      </c>
      <c r="Q30" s="38">
        <f>IF(OR(N30="",M30=""),"",INT(N30-IF(O30="",DefaultBuffer,O30)-M30*7-IF(P30="",DefaultApproval,P30)))</f>
        <v/>
      </c>
      <c r="R30" s="39">
        <f>IF(Q30="","",Q30-TODAY())</f>
        <v/>
      </c>
      <c r="S30" s="40">
        <f>IF(C30="","",IF(OR(T30="On hold",T30="Out of stock"),"Blocked",IF(ISNUMBER(MATCH(T30,OrderedStatuses,0)),"OK",IF(Q30="","Needs dates",IF(R30&lt;0,"Late",IF(R30&lt;=NudgeDays,"At risk","OK"))))))</f>
        <v/>
      </c>
      <c r="T30" s="29" t="inlineStr">
        <is>
          <t>Delivered</t>
        </is>
      </c>
      <c r="U30" s="36">
        <f>TODAY()-70</f>
        <v/>
      </c>
      <c r="V30" s="29" t="inlineStr">
        <is>
          <t>PO-1008</t>
        </is>
      </c>
      <c r="W30" s="30" t="inlineStr">
        <is>
          <t>Sample. Four-person lift; booked.</t>
        </is>
      </c>
    </row>
    <row r="31">
      <c r="A31" s="28" t="inlineStr">
        <is>
          <t>BA-02</t>
        </is>
      </c>
      <c r="B31" s="29" t="inlineStr">
        <is>
          <t>Principal bathroom</t>
        </is>
      </c>
      <c r="C31" s="30" t="inlineStr">
        <is>
          <t>Basin taps</t>
        </is>
      </c>
      <c r="D31" s="30" t="inlineStr">
        <is>
          <t>Unlacquered brass, three-hole deck mounted</t>
        </is>
      </c>
      <c r="E31" s="29" t="inlineStr">
        <is>
          <t>Ostrander Brass Co.</t>
        </is>
      </c>
      <c r="F31" s="29" t="inlineStr">
        <is>
          <t>OB-BT-3H</t>
        </is>
      </c>
      <c r="G31" s="31" t="n">
        <v>2</v>
      </c>
      <c r="H31" s="32" t="n">
        <v>820</v>
      </c>
      <c r="I31" s="29" t="inlineStr">
        <is>
          <t>USD</t>
        </is>
      </c>
      <c r="J31" s="33">
        <f>IF(H31="",0,IFERROR(H31*INDEX(FX_Rate,MATCH(IF(I31="","GBP",I31),FX_Code,0)),0))</f>
        <v/>
      </c>
      <c r="K31" s="33">
        <f>IF(ISNUMBER(G31),G31*J31,0)</f>
        <v/>
      </c>
      <c r="L31" s="34" t="n">
        <v>0.2</v>
      </c>
      <c r="M31" s="35" t="n">
        <v>10</v>
      </c>
      <c r="N31" s="36">
        <f>TODAY()+45</f>
        <v/>
      </c>
      <c r="O31" s="37" t="n"/>
      <c r="P31" s="37" t="n">
        <v>0</v>
      </c>
      <c r="Q31" s="38">
        <f>IF(OR(N31="",M31=""),"",INT(N31-IF(O31="",DefaultBuffer,O31)-M31*7-IF(P31="",DefaultApproval,P31)))</f>
        <v/>
      </c>
      <c r="R31" s="39">
        <f>IF(Q31="","",Q31-TODAY())</f>
        <v/>
      </c>
      <c r="S31" s="40">
        <f>IF(C31="","",IF(OR(T31="On hold",T31="Out of stock"),"Blocked",IF(ISNUMBER(MATCH(T31,OrderedStatuses,0)),"OK",IF(Q31="","Needs dates",IF(R31&lt;0,"Late",IF(R31&lt;=NudgeDays,"At risk","OK"))))))</f>
        <v/>
      </c>
      <c r="T31" s="29" t="inlineStr">
        <is>
          <t>Ordered</t>
        </is>
      </c>
      <c r="U31" s="36">
        <f>TODAY()-80</f>
        <v/>
      </c>
      <c r="V31" s="29" t="inlineStr">
        <is>
          <t>PO-1006</t>
        </is>
      </c>
      <c r="W31" s="30" t="inlineStr">
        <is>
          <t>Sample. Plumber to confirm fittings before install.</t>
        </is>
      </c>
    </row>
    <row r="32">
      <c r="A32" s="28" t="inlineStr">
        <is>
          <t>BA-03</t>
        </is>
      </c>
      <c r="B32" s="29" t="inlineStr">
        <is>
          <t>Principal bathroom</t>
        </is>
      </c>
      <c r="C32" s="30" t="inlineStr">
        <is>
          <t>Floor tiles</t>
        </is>
      </c>
      <c r="D32" s="30" t="inlineStr">
        <is>
          <t>Honed limestone, 600 × 400 mm (m²)</t>
        </is>
      </c>
      <c r="E32" s="29" t="inlineStr">
        <is>
          <t>Fenwick Stone &amp; Tile</t>
        </is>
      </c>
      <c r="F32" s="29" t="inlineStr">
        <is>
          <t>FST-LS-6040</t>
        </is>
      </c>
      <c r="G32" s="31" t="n">
        <v>12</v>
      </c>
      <c r="H32" s="32" t="n">
        <v>118</v>
      </c>
      <c r="I32" s="29" t="inlineStr">
        <is>
          <t>GBP</t>
        </is>
      </c>
      <c r="J32" s="33">
        <f>IF(H32="",0,IFERROR(H32*INDEX(FX_Rate,MATCH(IF(I32="","GBP",I32),FX_Code,0)),0))</f>
        <v/>
      </c>
      <c r="K32" s="33">
        <f>IF(ISNUMBER(G32),G32*J32,0)</f>
        <v/>
      </c>
      <c r="L32" s="34" t="n">
        <v>0.2</v>
      </c>
      <c r="M32" s="35" t="n">
        <v>4</v>
      </c>
      <c r="N32" s="36">
        <f>TODAY()+45</f>
        <v/>
      </c>
      <c r="O32" s="37" t="n"/>
      <c r="P32" s="37" t="n">
        <v>0</v>
      </c>
      <c r="Q32" s="38">
        <f>IF(OR(N32="",M32=""),"",INT(N32-IF(O32="",DefaultBuffer,O32)-M32*7-IF(P32="",DefaultApproval,P32)))</f>
        <v/>
      </c>
      <c r="R32" s="39">
        <f>IF(Q32="","",Q32-TODAY())</f>
        <v/>
      </c>
      <c r="S32" s="40">
        <f>IF(C32="","",IF(OR(T32="On hold",T32="Out of stock"),"Blocked",IF(ISNUMBER(MATCH(T32,OrderedStatuses,0)),"OK",IF(Q32="","Needs dates",IF(R32&lt;0,"Late",IF(R32&lt;=NudgeDays,"At risk","OK"))))))</f>
        <v/>
      </c>
      <c r="T32" s="29" t="inlineStr">
        <is>
          <t>Installed</t>
        </is>
      </c>
      <c r="U32" s="36">
        <f>TODAY()-90</f>
        <v/>
      </c>
      <c r="V32" s="29" t="inlineStr">
        <is>
          <t>PO-1009</t>
        </is>
      </c>
      <c r="W32" s="30" t="inlineStr">
        <is>
          <t>Sample.</t>
        </is>
      </c>
    </row>
    <row r="33">
      <c r="A33" s="28" t="inlineStr">
        <is>
          <t>GB-01</t>
        </is>
      </c>
      <c r="B33" s="29" t="inlineStr">
        <is>
          <t>Guest bedroom</t>
        </is>
      </c>
      <c r="C33" s="30" t="inlineStr">
        <is>
          <t>Bed</t>
        </is>
      </c>
      <c r="D33" s="30" t="inlineStr">
        <is>
          <t>Upholstered, king 1500 × 2000 mm</t>
        </is>
      </c>
      <c r="E33" s="29" t="inlineStr">
        <is>
          <t>Hartwell &amp; Rowe Upholstery</t>
        </is>
      </c>
      <c r="F33" s="29" t="inlineStr">
        <is>
          <t>HR-BD-K</t>
        </is>
      </c>
      <c r="G33" s="31" t="n">
        <v>1</v>
      </c>
      <c r="H33" s="32" t="n">
        <v>2900</v>
      </c>
      <c r="I33" s="29" t="inlineStr">
        <is>
          <t>GBP</t>
        </is>
      </c>
      <c r="J33" s="33">
        <f>IF(H33="",0,IFERROR(H33*INDEX(FX_Rate,MATCH(IF(I33="","GBP",I33),FX_Code,0)),0))</f>
        <v/>
      </c>
      <c r="K33" s="33">
        <f>IF(ISNUMBER(G33),G33*J33,0)</f>
        <v/>
      </c>
      <c r="L33" s="34" t="n">
        <v>0.2</v>
      </c>
      <c r="M33" s="35" t="n">
        <v>10</v>
      </c>
      <c r="N33" s="36">
        <f>TODAY()+150</f>
        <v/>
      </c>
      <c r="O33" s="37" t="n"/>
      <c r="P33" s="37" t="n">
        <v>0</v>
      </c>
      <c r="Q33" s="38">
        <f>IF(OR(N33="",M33=""),"",INT(N33-IF(O33="",DefaultBuffer,O33)-M33*7-IF(P33="",DefaultApproval,P33)))</f>
        <v/>
      </c>
      <c r="R33" s="39">
        <f>IF(Q33="","",Q33-TODAY())</f>
        <v/>
      </c>
      <c r="S33" s="40">
        <f>IF(C33="","",IF(OR(T33="On hold",T33="Out of stock"),"Blocked",IF(ISNUMBER(MATCH(T33,OrderedStatuses,0)),"OK",IF(Q33="","Needs dates",IF(R33&lt;0,"Late",IF(R33&lt;=NudgeDays,"At risk","OK"))))))</f>
        <v/>
      </c>
      <c r="T33" s="29" t="inlineStr">
        <is>
          <t>Specified</t>
        </is>
      </c>
      <c r="U33" s="36" t="n"/>
      <c r="V33" s="29" t="n"/>
      <c r="W33" s="30" t="inlineStr">
        <is>
          <t>Sample.</t>
        </is>
      </c>
    </row>
    <row r="34">
      <c r="A34" s="28" t="inlineStr">
        <is>
          <t>GB-02</t>
        </is>
      </c>
      <c r="B34" s="29" t="inlineStr">
        <is>
          <t>Guest bedroom</t>
        </is>
      </c>
      <c r="C34" s="30" t="inlineStr">
        <is>
          <t>Table lamp</t>
        </is>
      </c>
      <c r="D34" s="30" t="inlineStr">
        <is>
          <t>Stoneware, oxblood glaze</t>
        </is>
      </c>
      <c r="E34" s="29" t="inlineStr">
        <is>
          <t>Mesa Clayworks</t>
        </is>
      </c>
      <c r="F34" s="29" t="inlineStr">
        <is>
          <t>MC-TL-22</t>
        </is>
      </c>
      <c r="G34" s="31" t="n">
        <v>1</v>
      </c>
      <c r="H34" s="32" t="n">
        <v>480</v>
      </c>
      <c r="I34" s="29" t="inlineStr">
        <is>
          <t>USD</t>
        </is>
      </c>
      <c r="J34" s="33">
        <f>IF(H34="",0,IFERROR(H34*INDEX(FX_Rate,MATCH(IF(I34="","GBP",I34),FX_Code,0)),0))</f>
        <v/>
      </c>
      <c r="K34" s="33">
        <f>IF(ISNUMBER(G34),G34*J34,0)</f>
        <v/>
      </c>
      <c r="L34" s="34" t="n">
        <v>0.2</v>
      </c>
      <c r="M34" s="35" t="n">
        <v>8</v>
      </c>
      <c r="N34" s="36">
        <f>TODAY()+150</f>
        <v/>
      </c>
      <c r="O34" s="37" t="n"/>
      <c r="P34" s="37" t="n">
        <v>0</v>
      </c>
      <c r="Q34" s="38">
        <f>IF(OR(N34="",M34=""),"",INT(N34-IF(O34="",DefaultBuffer,O34)-M34*7-IF(P34="",DefaultApproval,P34)))</f>
        <v/>
      </c>
      <c r="R34" s="39">
        <f>IF(Q34="","",Q34-TODAY())</f>
        <v/>
      </c>
      <c r="S34" s="40">
        <f>IF(C34="","",IF(OR(T34="On hold",T34="Out of stock"),"Blocked",IF(ISNUMBER(MATCH(T34,OrderedStatuses,0)),"OK",IF(Q34="","Needs dates",IF(R34&lt;0,"Late",IF(R34&lt;=NudgeDays,"At risk","OK"))))))</f>
        <v/>
      </c>
      <c r="T34" s="29" t="inlineStr">
        <is>
          <t>Specified</t>
        </is>
      </c>
      <c r="U34" s="36" t="n"/>
      <c r="V34" s="29" t="n"/>
      <c r="W34" s="30" t="inlineStr">
        <is>
          <t>Sample.</t>
        </is>
      </c>
    </row>
    <row r="35">
      <c r="A35" s="28" t="inlineStr">
        <is>
          <t>ST-01</t>
        </is>
      </c>
      <c r="B35" s="29" t="inlineStr">
        <is>
          <t>Study</t>
        </is>
      </c>
      <c r="C35" s="30" t="inlineStr">
        <is>
          <t>Desk</t>
        </is>
      </c>
      <c r="D35" s="30" t="inlineStr">
        <is>
          <t>Walnut, leather inset, 1500 × 750 mm</t>
        </is>
      </c>
      <c r="E35" s="29" t="inlineStr">
        <is>
          <t>Casa Ferrante</t>
        </is>
      </c>
      <c r="F35" s="29" t="inlineStr">
        <is>
          <t>CF-DK-1575</t>
        </is>
      </c>
      <c r="G35" s="31" t="n">
        <v>1</v>
      </c>
      <c r="H35" s="32" t="n">
        <v>4100</v>
      </c>
      <c r="I35" s="29" t="inlineStr">
        <is>
          <t>EUR</t>
        </is>
      </c>
      <c r="J35" s="33">
        <f>IF(H35="",0,IFERROR(H35*INDEX(FX_Rate,MATCH(IF(I35="","GBP",I35),FX_Code,0)),0))</f>
        <v/>
      </c>
      <c r="K35" s="33">
        <f>IF(ISNUMBER(G35),G35*J35,0)</f>
        <v/>
      </c>
      <c r="L35" s="34" t="n">
        <v>0.2</v>
      </c>
      <c r="M35" s="35" t="n">
        <v>14</v>
      </c>
      <c r="N35" s="36">
        <f>TODAY()+120</f>
        <v/>
      </c>
      <c r="O35" s="37" t="n"/>
      <c r="P35" s="37" t="n">
        <v>0</v>
      </c>
      <c r="Q35" s="38">
        <f>IF(OR(N35="",M35=""),"",INT(N35-IF(O35="",DefaultBuffer,O35)-M35*7-IF(P35="",DefaultApproval,P35)))</f>
        <v/>
      </c>
      <c r="R35" s="39">
        <f>IF(Q35="","",Q35-TODAY())</f>
        <v/>
      </c>
      <c r="S35" s="40">
        <f>IF(C35="","",IF(OR(T35="On hold",T35="Out of stock"),"Blocked",IF(ISNUMBER(MATCH(T35,OrderedStatuses,0)),"OK",IF(Q35="","Needs dates",IF(R35&lt;0,"Late",IF(R35&lt;=NudgeDays,"At risk","OK"))))))</f>
        <v/>
      </c>
      <c r="T35" s="29" t="inlineStr">
        <is>
          <t>Specified</t>
        </is>
      </c>
      <c r="U35" s="36" t="n"/>
      <c r="V35" s="29" t="n"/>
      <c r="W35" s="30" t="inlineStr">
        <is>
          <t>Sample.</t>
        </is>
      </c>
    </row>
    <row r="36">
      <c r="A36" s="29" t="n"/>
      <c r="B36" s="29" t="n"/>
      <c r="C36" s="30" t="n"/>
      <c r="D36" s="30" t="n"/>
      <c r="E36" s="29" t="n"/>
      <c r="F36" s="29" t="n"/>
      <c r="G36" s="31" t="n"/>
      <c r="H36" s="32" t="n"/>
      <c r="I36" s="29" t="n"/>
      <c r="J36" s="33">
        <f>IF(H36="",0,IFERROR(H36*INDEX(FX_Rate,MATCH(IF(I36="","GBP",I36),FX_Code,0)),0))</f>
        <v/>
      </c>
      <c r="K36" s="33">
        <f>IF(ISNUMBER(G36),G36*J36,0)</f>
        <v/>
      </c>
      <c r="L36" s="34" t="n"/>
      <c r="M36" s="35" t="n"/>
      <c r="N36" s="36" t="n"/>
      <c r="O36" s="37" t="n"/>
      <c r="P36" s="37" t="n"/>
      <c r="Q36" s="38">
        <f>IF(OR(N36="",M36=""),"",INT(N36-IF(O36="",DefaultBuffer,O36)-M36*7-IF(P36="",DefaultApproval,P36)))</f>
        <v/>
      </c>
      <c r="R36" s="39">
        <f>IF(Q36="","",Q36-TODAY())</f>
        <v/>
      </c>
      <c r="S36" s="40">
        <f>IF(C36="","",IF(OR(T36="On hold",T36="Out of stock"),"Blocked",IF(ISNUMBER(MATCH(T36,OrderedStatuses,0)),"OK",IF(Q36="","Needs dates",IF(R36&lt;0,"Late",IF(R36&lt;=NudgeDays,"At risk","OK"))))))</f>
        <v/>
      </c>
      <c r="T36" s="29" t="n"/>
      <c r="U36" s="36" t="n"/>
      <c r="V36" s="29" t="n"/>
      <c r="W36" s="30" t="n"/>
    </row>
    <row r="37">
      <c r="A37" s="29" t="n"/>
      <c r="B37" s="29" t="n"/>
      <c r="C37" s="30" t="n"/>
      <c r="D37" s="30" t="n"/>
      <c r="E37" s="29" t="n"/>
      <c r="F37" s="29" t="n"/>
      <c r="G37" s="31" t="n"/>
      <c r="H37" s="32" t="n"/>
      <c r="I37" s="29" t="n"/>
      <c r="J37" s="33">
        <f>IF(H37="",0,IFERROR(H37*INDEX(FX_Rate,MATCH(IF(I37="","GBP",I37),FX_Code,0)),0))</f>
        <v/>
      </c>
      <c r="K37" s="33">
        <f>IF(ISNUMBER(G37),G37*J37,0)</f>
        <v/>
      </c>
      <c r="L37" s="34" t="n"/>
      <c r="M37" s="35" t="n"/>
      <c r="N37" s="36" t="n"/>
      <c r="O37" s="37" t="n"/>
      <c r="P37" s="37" t="n"/>
      <c r="Q37" s="38">
        <f>IF(OR(N37="",M37=""),"",INT(N37-IF(O37="",DefaultBuffer,O37)-M37*7-IF(P37="",DefaultApproval,P37)))</f>
        <v/>
      </c>
      <c r="R37" s="39">
        <f>IF(Q37="","",Q37-TODAY())</f>
        <v/>
      </c>
      <c r="S37" s="40">
        <f>IF(C37="","",IF(OR(T37="On hold",T37="Out of stock"),"Blocked",IF(ISNUMBER(MATCH(T37,OrderedStatuses,0)),"OK",IF(Q37="","Needs dates",IF(R37&lt;0,"Late",IF(R37&lt;=NudgeDays,"At risk","OK"))))))</f>
        <v/>
      </c>
      <c r="T37" s="29" t="n"/>
      <c r="U37" s="36" t="n"/>
      <c r="V37" s="29" t="n"/>
      <c r="W37" s="30" t="n"/>
    </row>
    <row r="38">
      <c r="A38" s="29" t="n"/>
      <c r="B38" s="29" t="n"/>
      <c r="C38" s="30" t="n"/>
      <c r="D38" s="30" t="n"/>
      <c r="E38" s="29" t="n"/>
      <c r="F38" s="29" t="n"/>
      <c r="G38" s="31" t="n"/>
      <c r="H38" s="32" t="n"/>
      <c r="I38" s="29" t="n"/>
      <c r="J38" s="33">
        <f>IF(H38="",0,IFERROR(H38*INDEX(FX_Rate,MATCH(IF(I38="","GBP",I38),FX_Code,0)),0))</f>
        <v/>
      </c>
      <c r="K38" s="33">
        <f>IF(ISNUMBER(G38),G38*J38,0)</f>
        <v/>
      </c>
      <c r="L38" s="34" t="n"/>
      <c r="M38" s="35" t="n"/>
      <c r="N38" s="36" t="n"/>
      <c r="O38" s="37" t="n"/>
      <c r="P38" s="37" t="n"/>
      <c r="Q38" s="38">
        <f>IF(OR(N38="",M38=""),"",INT(N38-IF(O38="",DefaultBuffer,O38)-M38*7-IF(P38="",DefaultApproval,P38)))</f>
        <v/>
      </c>
      <c r="R38" s="39">
        <f>IF(Q38="","",Q38-TODAY())</f>
        <v/>
      </c>
      <c r="S38" s="40">
        <f>IF(C38="","",IF(OR(T38="On hold",T38="Out of stock"),"Blocked",IF(ISNUMBER(MATCH(T38,OrderedStatuses,0)),"OK",IF(Q38="","Needs dates",IF(R38&lt;0,"Late",IF(R38&lt;=NudgeDays,"At risk","OK"))))))</f>
        <v/>
      </c>
      <c r="T38" s="29" t="n"/>
      <c r="U38" s="36" t="n"/>
      <c r="V38" s="29" t="n"/>
      <c r="W38" s="30" t="n"/>
    </row>
    <row r="39">
      <c r="A39" s="29" t="n"/>
      <c r="B39" s="29" t="n"/>
      <c r="C39" s="30" t="n"/>
      <c r="D39" s="30" t="n"/>
      <c r="E39" s="29" t="n"/>
      <c r="F39" s="29" t="n"/>
      <c r="G39" s="31" t="n"/>
      <c r="H39" s="32" t="n"/>
      <c r="I39" s="29" t="n"/>
      <c r="J39" s="33">
        <f>IF(H39="",0,IFERROR(H39*INDEX(FX_Rate,MATCH(IF(I39="","GBP",I39),FX_Code,0)),0))</f>
        <v/>
      </c>
      <c r="K39" s="33">
        <f>IF(ISNUMBER(G39),G39*J39,0)</f>
        <v/>
      </c>
      <c r="L39" s="34" t="n"/>
      <c r="M39" s="35" t="n"/>
      <c r="N39" s="36" t="n"/>
      <c r="O39" s="37" t="n"/>
      <c r="P39" s="37" t="n"/>
      <c r="Q39" s="38">
        <f>IF(OR(N39="",M39=""),"",INT(N39-IF(O39="",DefaultBuffer,O39)-M39*7-IF(P39="",DefaultApproval,P39)))</f>
        <v/>
      </c>
      <c r="R39" s="39">
        <f>IF(Q39="","",Q39-TODAY())</f>
        <v/>
      </c>
      <c r="S39" s="40">
        <f>IF(C39="","",IF(OR(T39="On hold",T39="Out of stock"),"Blocked",IF(ISNUMBER(MATCH(T39,OrderedStatuses,0)),"OK",IF(Q39="","Needs dates",IF(R39&lt;0,"Late",IF(R39&lt;=NudgeDays,"At risk","OK"))))))</f>
        <v/>
      </c>
      <c r="T39" s="29" t="n"/>
      <c r="U39" s="36" t="n"/>
      <c r="V39" s="29" t="n"/>
      <c r="W39" s="30" t="n"/>
    </row>
    <row r="40">
      <c r="A40" s="29" t="n"/>
      <c r="B40" s="29" t="n"/>
      <c r="C40" s="30" t="n"/>
      <c r="D40" s="30" t="n"/>
      <c r="E40" s="29" t="n"/>
      <c r="F40" s="29" t="n"/>
      <c r="G40" s="31" t="n"/>
      <c r="H40" s="32" t="n"/>
      <c r="I40" s="29" t="n"/>
      <c r="J40" s="33">
        <f>IF(H40="",0,IFERROR(H40*INDEX(FX_Rate,MATCH(IF(I40="","GBP",I40),FX_Code,0)),0))</f>
        <v/>
      </c>
      <c r="K40" s="33">
        <f>IF(ISNUMBER(G40),G40*J40,0)</f>
        <v/>
      </c>
      <c r="L40" s="34" t="n"/>
      <c r="M40" s="35" t="n"/>
      <c r="N40" s="36" t="n"/>
      <c r="O40" s="37" t="n"/>
      <c r="P40" s="37" t="n"/>
      <c r="Q40" s="38">
        <f>IF(OR(N40="",M40=""),"",INT(N40-IF(O40="",DefaultBuffer,O40)-M40*7-IF(P40="",DefaultApproval,P40)))</f>
        <v/>
      </c>
      <c r="R40" s="39">
        <f>IF(Q40="","",Q40-TODAY())</f>
        <v/>
      </c>
      <c r="S40" s="40">
        <f>IF(C40="","",IF(OR(T40="On hold",T40="Out of stock"),"Blocked",IF(ISNUMBER(MATCH(T40,OrderedStatuses,0)),"OK",IF(Q40="","Needs dates",IF(R40&lt;0,"Late",IF(R40&lt;=NudgeDays,"At risk","OK"))))))</f>
        <v/>
      </c>
      <c r="T40" s="29" t="n"/>
      <c r="U40" s="36" t="n"/>
      <c r="V40" s="29" t="n"/>
      <c r="W40" s="30" t="n"/>
    </row>
    <row r="41">
      <c r="A41" s="29" t="n"/>
      <c r="B41" s="29" t="n"/>
      <c r="C41" s="30" t="n"/>
      <c r="D41" s="30" t="n"/>
      <c r="E41" s="29" t="n"/>
      <c r="F41" s="29" t="n"/>
      <c r="G41" s="31" t="n"/>
      <c r="H41" s="32" t="n"/>
      <c r="I41" s="29" t="n"/>
      <c r="J41" s="33">
        <f>IF(H41="",0,IFERROR(H41*INDEX(FX_Rate,MATCH(IF(I41="","GBP",I41),FX_Code,0)),0))</f>
        <v/>
      </c>
      <c r="K41" s="33">
        <f>IF(ISNUMBER(G41),G41*J41,0)</f>
        <v/>
      </c>
      <c r="L41" s="34" t="n"/>
      <c r="M41" s="35" t="n"/>
      <c r="N41" s="36" t="n"/>
      <c r="O41" s="37" t="n"/>
      <c r="P41" s="37" t="n"/>
      <c r="Q41" s="38">
        <f>IF(OR(N41="",M41=""),"",INT(N41-IF(O41="",DefaultBuffer,O41)-M41*7-IF(P41="",DefaultApproval,P41)))</f>
        <v/>
      </c>
      <c r="R41" s="39">
        <f>IF(Q41="","",Q41-TODAY())</f>
        <v/>
      </c>
      <c r="S41" s="40">
        <f>IF(C41="","",IF(OR(T41="On hold",T41="Out of stock"),"Blocked",IF(ISNUMBER(MATCH(T41,OrderedStatuses,0)),"OK",IF(Q41="","Needs dates",IF(R41&lt;0,"Late",IF(R41&lt;=NudgeDays,"At risk","OK"))))))</f>
        <v/>
      </c>
      <c r="T41" s="29" t="n"/>
      <c r="U41" s="36" t="n"/>
      <c r="V41" s="29" t="n"/>
      <c r="W41" s="30" t="n"/>
    </row>
    <row r="42">
      <c r="A42" s="29" t="n"/>
      <c r="B42" s="29" t="n"/>
      <c r="C42" s="30" t="n"/>
      <c r="D42" s="30" t="n"/>
      <c r="E42" s="29" t="n"/>
      <c r="F42" s="29" t="n"/>
      <c r="G42" s="31" t="n"/>
      <c r="H42" s="32" t="n"/>
      <c r="I42" s="29" t="n"/>
      <c r="J42" s="33">
        <f>IF(H42="",0,IFERROR(H42*INDEX(FX_Rate,MATCH(IF(I42="","GBP",I42),FX_Code,0)),0))</f>
        <v/>
      </c>
      <c r="K42" s="33">
        <f>IF(ISNUMBER(G42),G42*J42,0)</f>
        <v/>
      </c>
      <c r="L42" s="34" t="n"/>
      <c r="M42" s="35" t="n"/>
      <c r="N42" s="36" t="n"/>
      <c r="O42" s="37" t="n"/>
      <c r="P42" s="37" t="n"/>
      <c r="Q42" s="38">
        <f>IF(OR(N42="",M42=""),"",INT(N42-IF(O42="",DefaultBuffer,O42)-M42*7-IF(P42="",DefaultApproval,P42)))</f>
        <v/>
      </c>
      <c r="R42" s="39">
        <f>IF(Q42="","",Q42-TODAY())</f>
        <v/>
      </c>
      <c r="S42" s="40">
        <f>IF(C42="","",IF(OR(T42="On hold",T42="Out of stock"),"Blocked",IF(ISNUMBER(MATCH(T42,OrderedStatuses,0)),"OK",IF(Q42="","Needs dates",IF(R42&lt;0,"Late",IF(R42&lt;=NudgeDays,"At risk","OK"))))))</f>
        <v/>
      </c>
      <c r="T42" s="29" t="n"/>
      <c r="U42" s="36" t="n"/>
      <c r="V42" s="29" t="n"/>
      <c r="W42" s="30" t="n"/>
    </row>
    <row r="43">
      <c r="A43" s="29" t="n"/>
      <c r="B43" s="29" t="n"/>
      <c r="C43" s="30" t="n"/>
      <c r="D43" s="30" t="n"/>
      <c r="E43" s="29" t="n"/>
      <c r="F43" s="29" t="n"/>
      <c r="G43" s="31" t="n"/>
      <c r="H43" s="32" t="n"/>
      <c r="I43" s="29" t="n"/>
      <c r="J43" s="33">
        <f>IF(H43="",0,IFERROR(H43*INDEX(FX_Rate,MATCH(IF(I43="","GBP",I43),FX_Code,0)),0))</f>
        <v/>
      </c>
      <c r="K43" s="33">
        <f>IF(ISNUMBER(G43),G43*J43,0)</f>
        <v/>
      </c>
      <c r="L43" s="34" t="n"/>
      <c r="M43" s="35" t="n"/>
      <c r="N43" s="36" t="n"/>
      <c r="O43" s="37" t="n"/>
      <c r="P43" s="37" t="n"/>
      <c r="Q43" s="38">
        <f>IF(OR(N43="",M43=""),"",INT(N43-IF(O43="",DefaultBuffer,O43)-M43*7-IF(P43="",DefaultApproval,P43)))</f>
        <v/>
      </c>
      <c r="R43" s="39">
        <f>IF(Q43="","",Q43-TODAY())</f>
        <v/>
      </c>
      <c r="S43" s="40">
        <f>IF(C43="","",IF(OR(T43="On hold",T43="Out of stock"),"Blocked",IF(ISNUMBER(MATCH(T43,OrderedStatuses,0)),"OK",IF(Q43="","Needs dates",IF(R43&lt;0,"Late",IF(R43&lt;=NudgeDays,"At risk","OK"))))))</f>
        <v/>
      </c>
      <c r="T43" s="29" t="n"/>
      <c r="U43" s="36" t="n"/>
      <c r="V43" s="29" t="n"/>
      <c r="W43" s="30" t="n"/>
    </row>
    <row r="44">
      <c r="A44" s="29" t="n"/>
      <c r="B44" s="29" t="n"/>
      <c r="C44" s="30" t="n"/>
      <c r="D44" s="30" t="n"/>
      <c r="E44" s="29" t="n"/>
      <c r="F44" s="29" t="n"/>
      <c r="G44" s="31" t="n"/>
      <c r="H44" s="32" t="n"/>
      <c r="I44" s="29" t="n"/>
      <c r="J44" s="33">
        <f>IF(H44="",0,IFERROR(H44*INDEX(FX_Rate,MATCH(IF(I44="","GBP",I44),FX_Code,0)),0))</f>
        <v/>
      </c>
      <c r="K44" s="33">
        <f>IF(ISNUMBER(G44),G44*J44,0)</f>
        <v/>
      </c>
      <c r="L44" s="34" t="n"/>
      <c r="M44" s="35" t="n"/>
      <c r="N44" s="36" t="n"/>
      <c r="O44" s="37" t="n"/>
      <c r="P44" s="37" t="n"/>
      <c r="Q44" s="38">
        <f>IF(OR(N44="",M44=""),"",INT(N44-IF(O44="",DefaultBuffer,O44)-M44*7-IF(P44="",DefaultApproval,P44)))</f>
        <v/>
      </c>
      <c r="R44" s="39">
        <f>IF(Q44="","",Q44-TODAY())</f>
        <v/>
      </c>
      <c r="S44" s="40">
        <f>IF(C44="","",IF(OR(T44="On hold",T44="Out of stock"),"Blocked",IF(ISNUMBER(MATCH(T44,OrderedStatuses,0)),"OK",IF(Q44="","Needs dates",IF(R44&lt;0,"Late",IF(R44&lt;=NudgeDays,"At risk","OK"))))))</f>
        <v/>
      </c>
      <c r="T44" s="29" t="n"/>
      <c r="U44" s="36" t="n"/>
      <c r="V44" s="29" t="n"/>
      <c r="W44" s="30" t="n"/>
    </row>
    <row r="45">
      <c r="A45" s="29" t="n"/>
      <c r="B45" s="29" t="n"/>
      <c r="C45" s="30" t="n"/>
      <c r="D45" s="30" t="n"/>
      <c r="E45" s="29" t="n"/>
      <c r="F45" s="29" t="n"/>
      <c r="G45" s="31" t="n"/>
      <c r="H45" s="32" t="n"/>
      <c r="I45" s="29" t="n"/>
      <c r="J45" s="33">
        <f>IF(H45="",0,IFERROR(H45*INDEX(FX_Rate,MATCH(IF(I45="","GBP",I45),FX_Code,0)),0))</f>
        <v/>
      </c>
      <c r="K45" s="33">
        <f>IF(ISNUMBER(G45),G45*J45,0)</f>
        <v/>
      </c>
      <c r="L45" s="34" t="n"/>
      <c r="M45" s="35" t="n"/>
      <c r="N45" s="36" t="n"/>
      <c r="O45" s="37" t="n"/>
      <c r="P45" s="37" t="n"/>
      <c r="Q45" s="38">
        <f>IF(OR(N45="",M45=""),"",INT(N45-IF(O45="",DefaultBuffer,O45)-M45*7-IF(P45="",DefaultApproval,P45)))</f>
        <v/>
      </c>
      <c r="R45" s="39">
        <f>IF(Q45="","",Q45-TODAY())</f>
        <v/>
      </c>
      <c r="S45" s="40">
        <f>IF(C45="","",IF(OR(T45="On hold",T45="Out of stock"),"Blocked",IF(ISNUMBER(MATCH(T45,OrderedStatuses,0)),"OK",IF(Q45="","Needs dates",IF(R45&lt;0,"Late",IF(R45&lt;=NudgeDays,"At risk","OK"))))))</f>
        <v/>
      </c>
      <c r="T45" s="29" t="n"/>
      <c r="U45" s="36" t="n"/>
      <c r="V45" s="29" t="n"/>
      <c r="W45" s="30" t="n"/>
    </row>
    <row r="46">
      <c r="A46" s="29" t="n"/>
      <c r="B46" s="29" t="n"/>
      <c r="C46" s="30" t="n"/>
      <c r="D46" s="30" t="n"/>
      <c r="E46" s="29" t="n"/>
      <c r="F46" s="29" t="n"/>
      <c r="G46" s="31" t="n"/>
      <c r="H46" s="32" t="n"/>
      <c r="I46" s="29" t="n"/>
      <c r="J46" s="33">
        <f>IF(H46="",0,IFERROR(H46*INDEX(FX_Rate,MATCH(IF(I46="","GBP",I46),FX_Code,0)),0))</f>
        <v/>
      </c>
      <c r="K46" s="33">
        <f>IF(ISNUMBER(G46),G46*J46,0)</f>
        <v/>
      </c>
      <c r="L46" s="34" t="n"/>
      <c r="M46" s="35" t="n"/>
      <c r="N46" s="36" t="n"/>
      <c r="O46" s="37" t="n"/>
      <c r="P46" s="37" t="n"/>
      <c r="Q46" s="38">
        <f>IF(OR(N46="",M46=""),"",INT(N46-IF(O46="",DefaultBuffer,O46)-M46*7-IF(P46="",DefaultApproval,P46)))</f>
        <v/>
      </c>
      <c r="R46" s="39">
        <f>IF(Q46="","",Q46-TODAY())</f>
        <v/>
      </c>
      <c r="S46" s="40">
        <f>IF(C46="","",IF(OR(T46="On hold",T46="Out of stock"),"Blocked",IF(ISNUMBER(MATCH(T46,OrderedStatuses,0)),"OK",IF(Q46="","Needs dates",IF(R46&lt;0,"Late",IF(R46&lt;=NudgeDays,"At risk","OK"))))))</f>
        <v/>
      </c>
      <c r="T46" s="29" t="n"/>
      <c r="U46" s="36" t="n"/>
      <c r="V46" s="29" t="n"/>
      <c r="W46" s="30" t="n"/>
    </row>
    <row r="47">
      <c r="A47" s="29" t="n"/>
      <c r="B47" s="29" t="n"/>
      <c r="C47" s="30" t="n"/>
      <c r="D47" s="30" t="n"/>
      <c r="E47" s="29" t="n"/>
      <c r="F47" s="29" t="n"/>
      <c r="G47" s="31" t="n"/>
      <c r="H47" s="32" t="n"/>
      <c r="I47" s="29" t="n"/>
      <c r="J47" s="33">
        <f>IF(H47="",0,IFERROR(H47*INDEX(FX_Rate,MATCH(IF(I47="","GBP",I47),FX_Code,0)),0))</f>
        <v/>
      </c>
      <c r="K47" s="33">
        <f>IF(ISNUMBER(G47),G47*J47,0)</f>
        <v/>
      </c>
      <c r="L47" s="34" t="n"/>
      <c r="M47" s="35" t="n"/>
      <c r="N47" s="36" t="n"/>
      <c r="O47" s="37" t="n"/>
      <c r="P47" s="37" t="n"/>
      <c r="Q47" s="38">
        <f>IF(OR(N47="",M47=""),"",INT(N47-IF(O47="",DefaultBuffer,O47)-M47*7-IF(P47="",DefaultApproval,P47)))</f>
        <v/>
      </c>
      <c r="R47" s="39">
        <f>IF(Q47="","",Q47-TODAY())</f>
        <v/>
      </c>
      <c r="S47" s="40">
        <f>IF(C47="","",IF(OR(T47="On hold",T47="Out of stock"),"Blocked",IF(ISNUMBER(MATCH(T47,OrderedStatuses,0)),"OK",IF(Q47="","Needs dates",IF(R47&lt;0,"Late",IF(R47&lt;=NudgeDays,"At risk","OK"))))))</f>
        <v/>
      </c>
      <c r="T47" s="29" t="n"/>
      <c r="U47" s="36" t="n"/>
      <c r="V47" s="29" t="n"/>
      <c r="W47" s="30" t="n"/>
    </row>
    <row r="48">
      <c r="A48" s="29" t="n"/>
      <c r="B48" s="29" t="n"/>
      <c r="C48" s="30" t="n"/>
      <c r="D48" s="30" t="n"/>
      <c r="E48" s="29" t="n"/>
      <c r="F48" s="29" t="n"/>
      <c r="G48" s="31" t="n"/>
      <c r="H48" s="32" t="n"/>
      <c r="I48" s="29" t="n"/>
      <c r="J48" s="33">
        <f>IF(H48="",0,IFERROR(H48*INDEX(FX_Rate,MATCH(IF(I48="","GBP",I48),FX_Code,0)),0))</f>
        <v/>
      </c>
      <c r="K48" s="33">
        <f>IF(ISNUMBER(G48),G48*J48,0)</f>
        <v/>
      </c>
      <c r="L48" s="34" t="n"/>
      <c r="M48" s="35" t="n"/>
      <c r="N48" s="36" t="n"/>
      <c r="O48" s="37" t="n"/>
      <c r="P48" s="37" t="n"/>
      <c r="Q48" s="38">
        <f>IF(OR(N48="",M48=""),"",INT(N48-IF(O48="",DefaultBuffer,O48)-M48*7-IF(P48="",DefaultApproval,P48)))</f>
        <v/>
      </c>
      <c r="R48" s="39">
        <f>IF(Q48="","",Q48-TODAY())</f>
        <v/>
      </c>
      <c r="S48" s="40">
        <f>IF(C48="","",IF(OR(T48="On hold",T48="Out of stock"),"Blocked",IF(ISNUMBER(MATCH(T48,OrderedStatuses,0)),"OK",IF(Q48="","Needs dates",IF(R48&lt;0,"Late",IF(R48&lt;=NudgeDays,"At risk","OK"))))))</f>
        <v/>
      </c>
      <c r="T48" s="29" t="n"/>
      <c r="U48" s="36" t="n"/>
      <c r="V48" s="29" t="n"/>
      <c r="W48" s="30" t="n"/>
    </row>
    <row r="49">
      <c r="A49" s="29" t="n"/>
      <c r="B49" s="29" t="n"/>
      <c r="C49" s="30" t="n"/>
      <c r="D49" s="30" t="n"/>
      <c r="E49" s="29" t="n"/>
      <c r="F49" s="29" t="n"/>
      <c r="G49" s="31" t="n"/>
      <c r="H49" s="32" t="n"/>
      <c r="I49" s="29" t="n"/>
      <c r="J49" s="33">
        <f>IF(H49="",0,IFERROR(H49*INDEX(FX_Rate,MATCH(IF(I49="","GBP",I49),FX_Code,0)),0))</f>
        <v/>
      </c>
      <c r="K49" s="33">
        <f>IF(ISNUMBER(G49),G49*J49,0)</f>
        <v/>
      </c>
      <c r="L49" s="34" t="n"/>
      <c r="M49" s="35" t="n"/>
      <c r="N49" s="36" t="n"/>
      <c r="O49" s="37" t="n"/>
      <c r="P49" s="37" t="n"/>
      <c r="Q49" s="38">
        <f>IF(OR(N49="",M49=""),"",INT(N49-IF(O49="",DefaultBuffer,O49)-M49*7-IF(P49="",DefaultApproval,P49)))</f>
        <v/>
      </c>
      <c r="R49" s="39">
        <f>IF(Q49="","",Q49-TODAY())</f>
        <v/>
      </c>
      <c r="S49" s="40">
        <f>IF(C49="","",IF(OR(T49="On hold",T49="Out of stock"),"Blocked",IF(ISNUMBER(MATCH(T49,OrderedStatuses,0)),"OK",IF(Q49="","Needs dates",IF(R49&lt;0,"Late",IF(R49&lt;=NudgeDays,"At risk","OK"))))))</f>
        <v/>
      </c>
      <c r="T49" s="29" t="n"/>
      <c r="U49" s="36" t="n"/>
      <c r="V49" s="29" t="n"/>
      <c r="W49" s="30" t="n"/>
    </row>
    <row r="50">
      <c r="A50" s="29" t="n"/>
      <c r="B50" s="29" t="n"/>
      <c r="C50" s="30" t="n"/>
      <c r="D50" s="30" t="n"/>
      <c r="E50" s="29" t="n"/>
      <c r="F50" s="29" t="n"/>
      <c r="G50" s="31" t="n"/>
      <c r="H50" s="32" t="n"/>
      <c r="I50" s="29" t="n"/>
      <c r="J50" s="33">
        <f>IF(H50="",0,IFERROR(H50*INDEX(FX_Rate,MATCH(IF(I50="","GBP",I50),FX_Code,0)),0))</f>
        <v/>
      </c>
      <c r="K50" s="33">
        <f>IF(ISNUMBER(G50),G50*J50,0)</f>
        <v/>
      </c>
      <c r="L50" s="34" t="n"/>
      <c r="M50" s="35" t="n"/>
      <c r="N50" s="36" t="n"/>
      <c r="O50" s="37" t="n"/>
      <c r="P50" s="37" t="n"/>
      <c r="Q50" s="38">
        <f>IF(OR(N50="",M50=""),"",INT(N50-IF(O50="",DefaultBuffer,O50)-M50*7-IF(P50="",DefaultApproval,P50)))</f>
        <v/>
      </c>
      <c r="R50" s="39">
        <f>IF(Q50="","",Q50-TODAY())</f>
        <v/>
      </c>
      <c r="S50" s="40">
        <f>IF(C50="","",IF(OR(T50="On hold",T50="Out of stock"),"Blocked",IF(ISNUMBER(MATCH(T50,OrderedStatuses,0)),"OK",IF(Q50="","Needs dates",IF(R50&lt;0,"Late",IF(R50&lt;=NudgeDays,"At risk","OK"))))))</f>
        <v/>
      </c>
      <c r="T50" s="29" t="n"/>
      <c r="U50" s="36" t="n"/>
      <c r="V50" s="29" t="n"/>
      <c r="W50" s="30" t="n"/>
    </row>
    <row r="51">
      <c r="A51" s="29" t="n"/>
      <c r="B51" s="29" t="n"/>
      <c r="C51" s="30" t="n"/>
      <c r="D51" s="30" t="n"/>
      <c r="E51" s="29" t="n"/>
      <c r="F51" s="29" t="n"/>
      <c r="G51" s="31" t="n"/>
      <c r="H51" s="32" t="n"/>
      <c r="I51" s="29" t="n"/>
      <c r="J51" s="33">
        <f>IF(H51="",0,IFERROR(H51*INDEX(FX_Rate,MATCH(IF(I51="","GBP",I51),FX_Code,0)),0))</f>
        <v/>
      </c>
      <c r="K51" s="33">
        <f>IF(ISNUMBER(G51),G51*J51,0)</f>
        <v/>
      </c>
      <c r="L51" s="34" t="n"/>
      <c r="M51" s="35" t="n"/>
      <c r="N51" s="36" t="n"/>
      <c r="O51" s="37" t="n"/>
      <c r="P51" s="37" t="n"/>
      <c r="Q51" s="38">
        <f>IF(OR(N51="",M51=""),"",INT(N51-IF(O51="",DefaultBuffer,O51)-M51*7-IF(P51="",DefaultApproval,P51)))</f>
        <v/>
      </c>
      <c r="R51" s="39">
        <f>IF(Q51="","",Q51-TODAY())</f>
        <v/>
      </c>
      <c r="S51" s="40">
        <f>IF(C51="","",IF(OR(T51="On hold",T51="Out of stock"),"Blocked",IF(ISNUMBER(MATCH(T51,OrderedStatuses,0)),"OK",IF(Q51="","Needs dates",IF(R51&lt;0,"Late",IF(R51&lt;=NudgeDays,"At risk","OK"))))))</f>
        <v/>
      </c>
      <c r="T51" s="29" t="n"/>
      <c r="U51" s="36" t="n"/>
      <c r="V51" s="29" t="n"/>
      <c r="W51" s="30" t="n"/>
    </row>
    <row r="52">
      <c r="A52" s="29" t="n"/>
      <c r="B52" s="29" t="n"/>
      <c r="C52" s="30" t="n"/>
      <c r="D52" s="30" t="n"/>
      <c r="E52" s="29" t="n"/>
      <c r="F52" s="29" t="n"/>
      <c r="G52" s="31" t="n"/>
      <c r="H52" s="32" t="n"/>
      <c r="I52" s="29" t="n"/>
      <c r="J52" s="33">
        <f>IF(H52="",0,IFERROR(H52*INDEX(FX_Rate,MATCH(IF(I52="","GBP",I52),FX_Code,0)),0))</f>
        <v/>
      </c>
      <c r="K52" s="33">
        <f>IF(ISNUMBER(G52),G52*J52,0)</f>
        <v/>
      </c>
      <c r="L52" s="34" t="n"/>
      <c r="M52" s="35" t="n"/>
      <c r="N52" s="36" t="n"/>
      <c r="O52" s="37" t="n"/>
      <c r="P52" s="37" t="n"/>
      <c r="Q52" s="38">
        <f>IF(OR(N52="",M52=""),"",INT(N52-IF(O52="",DefaultBuffer,O52)-M52*7-IF(P52="",DefaultApproval,P52)))</f>
        <v/>
      </c>
      <c r="R52" s="39">
        <f>IF(Q52="","",Q52-TODAY())</f>
        <v/>
      </c>
      <c r="S52" s="40">
        <f>IF(C52="","",IF(OR(T52="On hold",T52="Out of stock"),"Blocked",IF(ISNUMBER(MATCH(T52,OrderedStatuses,0)),"OK",IF(Q52="","Needs dates",IF(R52&lt;0,"Late",IF(R52&lt;=NudgeDays,"At risk","OK"))))))</f>
        <v/>
      </c>
      <c r="T52" s="29" t="n"/>
      <c r="U52" s="36" t="n"/>
      <c r="V52" s="29" t="n"/>
      <c r="W52" s="30" t="n"/>
    </row>
    <row r="53">
      <c r="A53" s="29" t="n"/>
      <c r="B53" s="29" t="n"/>
      <c r="C53" s="30" t="n"/>
      <c r="D53" s="30" t="n"/>
      <c r="E53" s="29" t="n"/>
      <c r="F53" s="29" t="n"/>
      <c r="G53" s="31" t="n"/>
      <c r="H53" s="32" t="n"/>
      <c r="I53" s="29" t="n"/>
      <c r="J53" s="33">
        <f>IF(H53="",0,IFERROR(H53*INDEX(FX_Rate,MATCH(IF(I53="","GBP",I53),FX_Code,0)),0))</f>
        <v/>
      </c>
      <c r="K53" s="33">
        <f>IF(ISNUMBER(G53),G53*J53,0)</f>
        <v/>
      </c>
      <c r="L53" s="34" t="n"/>
      <c r="M53" s="35" t="n"/>
      <c r="N53" s="36" t="n"/>
      <c r="O53" s="37" t="n"/>
      <c r="P53" s="37" t="n"/>
      <c r="Q53" s="38">
        <f>IF(OR(N53="",M53=""),"",INT(N53-IF(O53="",DefaultBuffer,O53)-M53*7-IF(P53="",DefaultApproval,P53)))</f>
        <v/>
      </c>
      <c r="R53" s="39">
        <f>IF(Q53="","",Q53-TODAY())</f>
        <v/>
      </c>
      <c r="S53" s="40">
        <f>IF(C53="","",IF(OR(T53="On hold",T53="Out of stock"),"Blocked",IF(ISNUMBER(MATCH(T53,OrderedStatuses,0)),"OK",IF(Q53="","Needs dates",IF(R53&lt;0,"Late",IF(R53&lt;=NudgeDays,"At risk","OK"))))))</f>
        <v/>
      </c>
      <c r="T53" s="29" t="n"/>
      <c r="U53" s="36" t="n"/>
      <c r="V53" s="29" t="n"/>
      <c r="W53" s="30" t="n"/>
    </row>
    <row r="54">
      <c r="A54" s="29" t="n"/>
      <c r="B54" s="29" t="n"/>
      <c r="C54" s="30" t="n"/>
      <c r="D54" s="30" t="n"/>
      <c r="E54" s="29" t="n"/>
      <c r="F54" s="29" t="n"/>
      <c r="G54" s="31" t="n"/>
      <c r="H54" s="32" t="n"/>
      <c r="I54" s="29" t="n"/>
      <c r="J54" s="33">
        <f>IF(H54="",0,IFERROR(H54*INDEX(FX_Rate,MATCH(IF(I54="","GBP",I54),FX_Code,0)),0))</f>
        <v/>
      </c>
      <c r="K54" s="33">
        <f>IF(ISNUMBER(G54),G54*J54,0)</f>
        <v/>
      </c>
      <c r="L54" s="34" t="n"/>
      <c r="M54" s="35" t="n"/>
      <c r="N54" s="36" t="n"/>
      <c r="O54" s="37" t="n"/>
      <c r="P54" s="37" t="n"/>
      <c r="Q54" s="38">
        <f>IF(OR(N54="",M54=""),"",INT(N54-IF(O54="",DefaultBuffer,O54)-M54*7-IF(P54="",DefaultApproval,P54)))</f>
        <v/>
      </c>
      <c r="R54" s="39">
        <f>IF(Q54="","",Q54-TODAY())</f>
        <v/>
      </c>
      <c r="S54" s="40">
        <f>IF(C54="","",IF(OR(T54="On hold",T54="Out of stock"),"Blocked",IF(ISNUMBER(MATCH(T54,OrderedStatuses,0)),"OK",IF(Q54="","Needs dates",IF(R54&lt;0,"Late",IF(R54&lt;=NudgeDays,"At risk","OK"))))))</f>
        <v/>
      </c>
      <c r="T54" s="29" t="n"/>
      <c r="U54" s="36" t="n"/>
      <c r="V54" s="29" t="n"/>
      <c r="W54" s="30" t="n"/>
    </row>
    <row r="55">
      <c r="A55" s="29" t="n"/>
      <c r="B55" s="29" t="n"/>
      <c r="C55" s="30" t="n"/>
      <c r="D55" s="30" t="n"/>
      <c r="E55" s="29" t="n"/>
      <c r="F55" s="29" t="n"/>
      <c r="G55" s="31" t="n"/>
      <c r="H55" s="32" t="n"/>
      <c r="I55" s="29" t="n"/>
      <c r="J55" s="33">
        <f>IF(H55="",0,IFERROR(H55*INDEX(FX_Rate,MATCH(IF(I55="","GBP",I55),FX_Code,0)),0))</f>
        <v/>
      </c>
      <c r="K55" s="33">
        <f>IF(ISNUMBER(G55),G55*J55,0)</f>
        <v/>
      </c>
      <c r="L55" s="34" t="n"/>
      <c r="M55" s="35" t="n"/>
      <c r="N55" s="36" t="n"/>
      <c r="O55" s="37" t="n"/>
      <c r="P55" s="37" t="n"/>
      <c r="Q55" s="38">
        <f>IF(OR(N55="",M55=""),"",INT(N55-IF(O55="",DefaultBuffer,O55)-M55*7-IF(P55="",DefaultApproval,P55)))</f>
        <v/>
      </c>
      <c r="R55" s="39">
        <f>IF(Q55="","",Q55-TODAY())</f>
        <v/>
      </c>
      <c r="S55" s="40">
        <f>IF(C55="","",IF(OR(T55="On hold",T55="Out of stock"),"Blocked",IF(ISNUMBER(MATCH(T55,OrderedStatuses,0)),"OK",IF(Q55="","Needs dates",IF(R55&lt;0,"Late",IF(R55&lt;=NudgeDays,"At risk","OK"))))))</f>
        <v/>
      </c>
      <c r="T55" s="29" t="n"/>
      <c r="U55" s="36" t="n"/>
      <c r="V55" s="29" t="n"/>
      <c r="W55" s="30" t="n"/>
    </row>
    <row r="56">
      <c r="A56" s="29" t="n"/>
      <c r="B56" s="29" t="n"/>
      <c r="C56" s="30" t="n"/>
      <c r="D56" s="30" t="n"/>
      <c r="E56" s="29" t="n"/>
      <c r="F56" s="29" t="n"/>
      <c r="G56" s="31" t="n"/>
      <c r="H56" s="32" t="n"/>
      <c r="I56" s="29" t="n"/>
      <c r="J56" s="33">
        <f>IF(H56="",0,IFERROR(H56*INDEX(FX_Rate,MATCH(IF(I56="","GBP",I56),FX_Code,0)),0))</f>
        <v/>
      </c>
      <c r="K56" s="33">
        <f>IF(ISNUMBER(G56),G56*J56,0)</f>
        <v/>
      </c>
      <c r="L56" s="34" t="n"/>
      <c r="M56" s="35" t="n"/>
      <c r="N56" s="36" t="n"/>
      <c r="O56" s="37" t="n"/>
      <c r="P56" s="37" t="n"/>
      <c r="Q56" s="38">
        <f>IF(OR(N56="",M56=""),"",INT(N56-IF(O56="",DefaultBuffer,O56)-M56*7-IF(P56="",DefaultApproval,P56)))</f>
        <v/>
      </c>
      <c r="R56" s="39">
        <f>IF(Q56="","",Q56-TODAY())</f>
        <v/>
      </c>
      <c r="S56" s="40">
        <f>IF(C56="","",IF(OR(T56="On hold",T56="Out of stock"),"Blocked",IF(ISNUMBER(MATCH(T56,OrderedStatuses,0)),"OK",IF(Q56="","Needs dates",IF(R56&lt;0,"Late",IF(R56&lt;=NudgeDays,"At risk","OK"))))))</f>
        <v/>
      </c>
      <c r="T56" s="29" t="n"/>
      <c r="U56" s="36" t="n"/>
      <c r="V56" s="29" t="n"/>
      <c r="W56" s="30" t="n"/>
    </row>
    <row r="57">
      <c r="A57" s="29" t="n"/>
      <c r="B57" s="29" t="n"/>
      <c r="C57" s="30" t="n"/>
      <c r="D57" s="30" t="n"/>
      <c r="E57" s="29" t="n"/>
      <c r="F57" s="29" t="n"/>
      <c r="G57" s="31" t="n"/>
      <c r="H57" s="32" t="n"/>
      <c r="I57" s="29" t="n"/>
      <c r="J57" s="33">
        <f>IF(H57="",0,IFERROR(H57*INDEX(FX_Rate,MATCH(IF(I57="","GBP",I57),FX_Code,0)),0))</f>
        <v/>
      </c>
      <c r="K57" s="33">
        <f>IF(ISNUMBER(G57),G57*J57,0)</f>
        <v/>
      </c>
      <c r="L57" s="34" t="n"/>
      <c r="M57" s="35" t="n"/>
      <c r="N57" s="36" t="n"/>
      <c r="O57" s="37" t="n"/>
      <c r="P57" s="37" t="n"/>
      <c r="Q57" s="38">
        <f>IF(OR(N57="",M57=""),"",INT(N57-IF(O57="",DefaultBuffer,O57)-M57*7-IF(P57="",DefaultApproval,P57)))</f>
        <v/>
      </c>
      <c r="R57" s="39">
        <f>IF(Q57="","",Q57-TODAY())</f>
        <v/>
      </c>
      <c r="S57" s="40">
        <f>IF(C57="","",IF(OR(T57="On hold",T57="Out of stock"),"Blocked",IF(ISNUMBER(MATCH(T57,OrderedStatuses,0)),"OK",IF(Q57="","Needs dates",IF(R57&lt;0,"Late",IF(R57&lt;=NudgeDays,"At risk","OK"))))))</f>
        <v/>
      </c>
      <c r="T57" s="29" t="n"/>
      <c r="U57" s="36" t="n"/>
      <c r="V57" s="29" t="n"/>
      <c r="W57" s="30" t="n"/>
    </row>
    <row r="58">
      <c r="A58" s="29" t="n"/>
      <c r="B58" s="29" t="n"/>
      <c r="C58" s="30" t="n"/>
      <c r="D58" s="30" t="n"/>
      <c r="E58" s="29" t="n"/>
      <c r="F58" s="29" t="n"/>
      <c r="G58" s="31" t="n"/>
      <c r="H58" s="32" t="n"/>
      <c r="I58" s="29" t="n"/>
      <c r="J58" s="33">
        <f>IF(H58="",0,IFERROR(H58*INDEX(FX_Rate,MATCH(IF(I58="","GBP",I58),FX_Code,0)),0))</f>
        <v/>
      </c>
      <c r="K58" s="33">
        <f>IF(ISNUMBER(G58),G58*J58,0)</f>
        <v/>
      </c>
      <c r="L58" s="34" t="n"/>
      <c r="M58" s="35" t="n"/>
      <c r="N58" s="36" t="n"/>
      <c r="O58" s="37" t="n"/>
      <c r="P58" s="37" t="n"/>
      <c r="Q58" s="38">
        <f>IF(OR(N58="",M58=""),"",INT(N58-IF(O58="",DefaultBuffer,O58)-M58*7-IF(P58="",DefaultApproval,P58)))</f>
        <v/>
      </c>
      <c r="R58" s="39">
        <f>IF(Q58="","",Q58-TODAY())</f>
        <v/>
      </c>
      <c r="S58" s="40">
        <f>IF(C58="","",IF(OR(T58="On hold",T58="Out of stock"),"Blocked",IF(ISNUMBER(MATCH(T58,OrderedStatuses,0)),"OK",IF(Q58="","Needs dates",IF(R58&lt;0,"Late",IF(R58&lt;=NudgeDays,"At risk","OK"))))))</f>
        <v/>
      </c>
      <c r="T58" s="29" t="n"/>
      <c r="U58" s="36" t="n"/>
      <c r="V58" s="29" t="n"/>
      <c r="W58" s="30" t="n"/>
    </row>
    <row r="59">
      <c r="A59" s="29" t="n"/>
      <c r="B59" s="29" t="n"/>
      <c r="C59" s="30" t="n"/>
      <c r="D59" s="30" t="n"/>
      <c r="E59" s="29" t="n"/>
      <c r="F59" s="29" t="n"/>
      <c r="G59" s="31" t="n"/>
      <c r="H59" s="32" t="n"/>
      <c r="I59" s="29" t="n"/>
      <c r="J59" s="33">
        <f>IF(H59="",0,IFERROR(H59*INDEX(FX_Rate,MATCH(IF(I59="","GBP",I59),FX_Code,0)),0))</f>
        <v/>
      </c>
      <c r="K59" s="33">
        <f>IF(ISNUMBER(G59),G59*J59,0)</f>
        <v/>
      </c>
      <c r="L59" s="34" t="n"/>
      <c r="M59" s="35" t="n"/>
      <c r="N59" s="36" t="n"/>
      <c r="O59" s="37" t="n"/>
      <c r="P59" s="37" t="n"/>
      <c r="Q59" s="38">
        <f>IF(OR(N59="",M59=""),"",INT(N59-IF(O59="",DefaultBuffer,O59)-M59*7-IF(P59="",DefaultApproval,P59)))</f>
        <v/>
      </c>
      <c r="R59" s="39">
        <f>IF(Q59="","",Q59-TODAY())</f>
        <v/>
      </c>
      <c r="S59" s="40">
        <f>IF(C59="","",IF(OR(T59="On hold",T59="Out of stock"),"Blocked",IF(ISNUMBER(MATCH(T59,OrderedStatuses,0)),"OK",IF(Q59="","Needs dates",IF(R59&lt;0,"Late",IF(R59&lt;=NudgeDays,"At risk","OK"))))))</f>
        <v/>
      </c>
      <c r="T59" s="29" t="n"/>
      <c r="U59" s="36" t="n"/>
      <c r="V59" s="29" t="n"/>
      <c r="W59" s="30" t="n"/>
    </row>
    <row r="60">
      <c r="A60" s="29" t="n"/>
      <c r="B60" s="29" t="n"/>
      <c r="C60" s="30" t="n"/>
      <c r="D60" s="30" t="n"/>
      <c r="E60" s="29" t="n"/>
      <c r="F60" s="29" t="n"/>
      <c r="G60" s="31" t="n"/>
      <c r="H60" s="32" t="n"/>
      <c r="I60" s="29" t="n"/>
      <c r="J60" s="33">
        <f>IF(H60="",0,IFERROR(H60*INDEX(FX_Rate,MATCH(IF(I60="","GBP",I60),FX_Code,0)),0))</f>
        <v/>
      </c>
      <c r="K60" s="33">
        <f>IF(ISNUMBER(G60),G60*J60,0)</f>
        <v/>
      </c>
      <c r="L60" s="34" t="n"/>
      <c r="M60" s="35" t="n"/>
      <c r="N60" s="36" t="n"/>
      <c r="O60" s="37" t="n"/>
      <c r="P60" s="37" t="n"/>
      <c r="Q60" s="38">
        <f>IF(OR(N60="",M60=""),"",INT(N60-IF(O60="",DefaultBuffer,O60)-M60*7-IF(P60="",DefaultApproval,P60)))</f>
        <v/>
      </c>
      <c r="R60" s="39">
        <f>IF(Q60="","",Q60-TODAY())</f>
        <v/>
      </c>
      <c r="S60" s="40">
        <f>IF(C60="","",IF(OR(T60="On hold",T60="Out of stock"),"Blocked",IF(ISNUMBER(MATCH(T60,OrderedStatuses,0)),"OK",IF(Q60="","Needs dates",IF(R60&lt;0,"Late",IF(R60&lt;=NudgeDays,"At risk","OK"))))))</f>
        <v/>
      </c>
      <c r="T60" s="29" t="n"/>
      <c r="U60" s="36" t="n"/>
      <c r="V60" s="29" t="n"/>
      <c r="W60" s="30" t="n"/>
    </row>
    <row r="61">
      <c r="A61" s="29" t="n"/>
      <c r="B61" s="29" t="n"/>
      <c r="C61" s="30" t="n"/>
      <c r="D61" s="30" t="n"/>
      <c r="E61" s="29" t="n"/>
      <c r="F61" s="29" t="n"/>
      <c r="G61" s="31" t="n"/>
      <c r="H61" s="32" t="n"/>
      <c r="I61" s="29" t="n"/>
      <c r="J61" s="33">
        <f>IF(H61="",0,IFERROR(H61*INDEX(FX_Rate,MATCH(IF(I61="","GBP",I61),FX_Code,0)),0))</f>
        <v/>
      </c>
      <c r="K61" s="33">
        <f>IF(ISNUMBER(G61),G61*J61,0)</f>
        <v/>
      </c>
      <c r="L61" s="34" t="n"/>
      <c r="M61" s="35" t="n"/>
      <c r="N61" s="36" t="n"/>
      <c r="O61" s="37" t="n"/>
      <c r="P61" s="37" t="n"/>
      <c r="Q61" s="38">
        <f>IF(OR(N61="",M61=""),"",INT(N61-IF(O61="",DefaultBuffer,O61)-M61*7-IF(P61="",DefaultApproval,P61)))</f>
        <v/>
      </c>
      <c r="R61" s="39">
        <f>IF(Q61="","",Q61-TODAY())</f>
        <v/>
      </c>
      <c r="S61" s="40">
        <f>IF(C61="","",IF(OR(T61="On hold",T61="Out of stock"),"Blocked",IF(ISNUMBER(MATCH(T61,OrderedStatuses,0)),"OK",IF(Q61="","Needs dates",IF(R61&lt;0,"Late",IF(R61&lt;=NudgeDays,"At risk","OK"))))))</f>
        <v/>
      </c>
      <c r="T61" s="29" t="n"/>
      <c r="U61" s="36" t="n"/>
      <c r="V61" s="29" t="n"/>
      <c r="W61" s="30" t="n"/>
    </row>
    <row r="62">
      <c r="A62" s="29" t="n"/>
      <c r="B62" s="29" t="n"/>
      <c r="C62" s="30" t="n"/>
      <c r="D62" s="30" t="n"/>
      <c r="E62" s="29" t="n"/>
      <c r="F62" s="29" t="n"/>
      <c r="G62" s="31" t="n"/>
      <c r="H62" s="32" t="n"/>
      <c r="I62" s="29" t="n"/>
      <c r="J62" s="33">
        <f>IF(H62="",0,IFERROR(H62*INDEX(FX_Rate,MATCH(IF(I62="","GBP",I62),FX_Code,0)),0))</f>
        <v/>
      </c>
      <c r="K62" s="33">
        <f>IF(ISNUMBER(G62),G62*J62,0)</f>
        <v/>
      </c>
      <c r="L62" s="34" t="n"/>
      <c r="M62" s="35" t="n"/>
      <c r="N62" s="36" t="n"/>
      <c r="O62" s="37" t="n"/>
      <c r="P62" s="37" t="n"/>
      <c r="Q62" s="38">
        <f>IF(OR(N62="",M62=""),"",INT(N62-IF(O62="",DefaultBuffer,O62)-M62*7-IF(P62="",DefaultApproval,P62)))</f>
        <v/>
      </c>
      <c r="R62" s="39">
        <f>IF(Q62="","",Q62-TODAY())</f>
        <v/>
      </c>
      <c r="S62" s="40">
        <f>IF(C62="","",IF(OR(T62="On hold",T62="Out of stock"),"Blocked",IF(ISNUMBER(MATCH(T62,OrderedStatuses,0)),"OK",IF(Q62="","Needs dates",IF(R62&lt;0,"Late",IF(R62&lt;=NudgeDays,"At risk","OK"))))))</f>
        <v/>
      </c>
      <c r="T62" s="29" t="n"/>
      <c r="U62" s="36" t="n"/>
      <c r="V62" s="29" t="n"/>
      <c r="W62" s="30" t="n"/>
    </row>
    <row r="63">
      <c r="A63" s="29" t="n"/>
      <c r="B63" s="29" t="n"/>
      <c r="C63" s="30" t="n"/>
      <c r="D63" s="30" t="n"/>
      <c r="E63" s="29" t="n"/>
      <c r="F63" s="29" t="n"/>
      <c r="G63" s="31" t="n"/>
      <c r="H63" s="32" t="n"/>
      <c r="I63" s="29" t="n"/>
      <c r="J63" s="33">
        <f>IF(H63="",0,IFERROR(H63*INDEX(FX_Rate,MATCH(IF(I63="","GBP",I63),FX_Code,0)),0))</f>
        <v/>
      </c>
      <c r="K63" s="33">
        <f>IF(ISNUMBER(G63),G63*J63,0)</f>
        <v/>
      </c>
      <c r="L63" s="34" t="n"/>
      <c r="M63" s="35" t="n"/>
      <c r="N63" s="36" t="n"/>
      <c r="O63" s="37" t="n"/>
      <c r="P63" s="37" t="n"/>
      <c r="Q63" s="38">
        <f>IF(OR(N63="",M63=""),"",INT(N63-IF(O63="",DefaultBuffer,O63)-M63*7-IF(P63="",DefaultApproval,P63)))</f>
        <v/>
      </c>
      <c r="R63" s="39">
        <f>IF(Q63="","",Q63-TODAY())</f>
        <v/>
      </c>
      <c r="S63" s="40">
        <f>IF(C63="","",IF(OR(T63="On hold",T63="Out of stock"),"Blocked",IF(ISNUMBER(MATCH(T63,OrderedStatuses,0)),"OK",IF(Q63="","Needs dates",IF(R63&lt;0,"Late",IF(R63&lt;=NudgeDays,"At risk","OK"))))))</f>
        <v/>
      </c>
      <c r="T63" s="29" t="n"/>
      <c r="U63" s="36" t="n"/>
      <c r="V63" s="29" t="n"/>
      <c r="W63" s="30" t="n"/>
    </row>
    <row r="64">
      <c r="A64" s="29" t="n"/>
      <c r="B64" s="29" t="n"/>
      <c r="C64" s="30" t="n"/>
      <c r="D64" s="30" t="n"/>
      <c r="E64" s="29" t="n"/>
      <c r="F64" s="29" t="n"/>
      <c r="G64" s="31" t="n"/>
      <c r="H64" s="32" t="n"/>
      <c r="I64" s="29" t="n"/>
      <c r="J64" s="33">
        <f>IF(H64="",0,IFERROR(H64*INDEX(FX_Rate,MATCH(IF(I64="","GBP",I64),FX_Code,0)),0))</f>
        <v/>
      </c>
      <c r="K64" s="33">
        <f>IF(ISNUMBER(G64),G64*J64,0)</f>
        <v/>
      </c>
      <c r="L64" s="34" t="n"/>
      <c r="M64" s="35" t="n"/>
      <c r="N64" s="36" t="n"/>
      <c r="O64" s="37" t="n"/>
      <c r="P64" s="37" t="n"/>
      <c r="Q64" s="38">
        <f>IF(OR(N64="",M64=""),"",INT(N64-IF(O64="",DefaultBuffer,O64)-M64*7-IF(P64="",DefaultApproval,P64)))</f>
        <v/>
      </c>
      <c r="R64" s="39">
        <f>IF(Q64="","",Q64-TODAY())</f>
        <v/>
      </c>
      <c r="S64" s="40">
        <f>IF(C64="","",IF(OR(T64="On hold",T64="Out of stock"),"Blocked",IF(ISNUMBER(MATCH(T64,OrderedStatuses,0)),"OK",IF(Q64="","Needs dates",IF(R64&lt;0,"Late",IF(R64&lt;=NudgeDays,"At risk","OK"))))))</f>
        <v/>
      </c>
      <c r="T64" s="29" t="n"/>
      <c r="U64" s="36" t="n"/>
      <c r="V64" s="29" t="n"/>
      <c r="W64" s="30" t="n"/>
    </row>
    <row r="65">
      <c r="A65" s="29" t="n"/>
      <c r="B65" s="29" t="n"/>
      <c r="C65" s="30" t="n"/>
      <c r="D65" s="30" t="n"/>
      <c r="E65" s="29" t="n"/>
      <c r="F65" s="29" t="n"/>
      <c r="G65" s="31" t="n"/>
      <c r="H65" s="32" t="n"/>
      <c r="I65" s="29" t="n"/>
      <c r="J65" s="33">
        <f>IF(H65="",0,IFERROR(H65*INDEX(FX_Rate,MATCH(IF(I65="","GBP",I65),FX_Code,0)),0))</f>
        <v/>
      </c>
      <c r="K65" s="33">
        <f>IF(ISNUMBER(G65),G65*J65,0)</f>
        <v/>
      </c>
      <c r="L65" s="34" t="n"/>
      <c r="M65" s="35" t="n"/>
      <c r="N65" s="36" t="n"/>
      <c r="O65" s="37" t="n"/>
      <c r="P65" s="37" t="n"/>
      <c r="Q65" s="38">
        <f>IF(OR(N65="",M65=""),"",INT(N65-IF(O65="",DefaultBuffer,O65)-M65*7-IF(P65="",DefaultApproval,P65)))</f>
        <v/>
      </c>
      <c r="R65" s="39">
        <f>IF(Q65="","",Q65-TODAY())</f>
        <v/>
      </c>
      <c r="S65" s="40">
        <f>IF(C65="","",IF(OR(T65="On hold",T65="Out of stock"),"Blocked",IF(ISNUMBER(MATCH(T65,OrderedStatuses,0)),"OK",IF(Q65="","Needs dates",IF(R65&lt;0,"Late",IF(R65&lt;=NudgeDays,"At risk","OK"))))))</f>
        <v/>
      </c>
      <c r="T65" s="29" t="n"/>
      <c r="U65" s="36" t="n"/>
      <c r="V65" s="29" t="n"/>
      <c r="W65" s="30" t="n"/>
    </row>
    <row r="66">
      <c r="A66" s="29" t="n"/>
      <c r="B66" s="29" t="n"/>
      <c r="C66" s="30" t="n"/>
      <c r="D66" s="30" t="n"/>
      <c r="E66" s="29" t="n"/>
      <c r="F66" s="29" t="n"/>
      <c r="G66" s="31" t="n"/>
      <c r="H66" s="32" t="n"/>
      <c r="I66" s="29" t="n"/>
      <c r="J66" s="33">
        <f>IF(H66="",0,IFERROR(H66*INDEX(FX_Rate,MATCH(IF(I66="","GBP",I66),FX_Code,0)),0))</f>
        <v/>
      </c>
      <c r="K66" s="33">
        <f>IF(ISNUMBER(G66),G66*J66,0)</f>
        <v/>
      </c>
      <c r="L66" s="34" t="n"/>
      <c r="M66" s="35" t="n"/>
      <c r="N66" s="36" t="n"/>
      <c r="O66" s="37" t="n"/>
      <c r="P66" s="37" t="n"/>
      <c r="Q66" s="38">
        <f>IF(OR(N66="",M66=""),"",INT(N66-IF(O66="",DefaultBuffer,O66)-M66*7-IF(P66="",DefaultApproval,P66)))</f>
        <v/>
      </c>
      <c r="R66" s="39">
        <f>IF(Q66="","",Q66-TODAY())</f>
        <v/>
      </c>
      <c r="S66" s="40">
        <f>IF(C66="","",IF(OR(T66="On hold",T66="Out of stock"),"Blocked",IF(ISNUMBER(MATCH(T66,OrderedStatuses,0)),"OK",IF(Q66="","Needs dates",IF(R66&lt;0,"Late",IF(R66&lt;=NudgeDays,"At risk","OK"))))))</f>
        <v/>
      </c>
      <c r="T66" s="29" t="n"/>
      <c r="U66" s="36" t="n"/>
      <c r="V66" s="29" t="n"/>
      <c r="W66" s="30" t="n"/>
    </row>
    <row r="67">
      <c r="A67" s="29" t="n"/>
      <c r="B67" s="29" t="n"/>
      <c r="C67" s="30" t="n"/>
      <c r="D67" s="30" t="n"/>
      <c r="E67" s="29" t="n"/>
      <c r="F67" s="29" t="n"/>
      <c r="G67" s="31" t="n"/>
      <c r="H67" s="32" t="n"/>
      <c r="I67" s="29" t="n"/>
      <c r="J67" s="33">
        <f>IF(H67="",0,IFERROR(H67*INDEX(FX_Rate,MATCH(IF(I67="","GBP",I67),FX_Code,0)),0))</f>
        <v/>
      </c>
      <c r="K67" s="33">
        <f>IF(ISNUMBER(G67),G67*J67,0)</f>
        <v/>
      </c>
      <c r="L67" s="34" t="n"/>
      <c r="M67" s="35" t="n"/>
      <c r="N67" s="36" t="n"/>
      <c r="O67" s="37" t="n"/>
      <c r="P67" s="37" t="n"/>
      <c r="Q67" s="38">
        <f>IF(OR(N67="",M67=""),"",INT(N67-IF(O67="",DefaultBuffer,O67)-M67*7-IF(P67="",DefaultApproval,P67)))</f>
        <v/>
      </c>
      <c r="R67" s="39">
        <f>IF(Q67="","",Q67-TODAY())</f>
        <v/>
      </c>
      <c r="S67" s="40">
        <f>IF(C67="","",IF(OR(T67="On hold",T67="Out of stock"),"Blocked",IF(ISNUMBER(MATCH(T67,OrderedStatuses,0)),"OK",IF(Q67="","Needs dates",IF(R67&lt;0,"Late",IF(R67&lt;=NudgeDays,"At risk","OK"))))))</f>
        <v/>
      </c>
      <c r="T67" s="29" t="n"/>
      <c r="U67" s="36" t="n"/>
      <c r="V67" s="29" t="n"/>
      <c r="W67" s="30" t="n"/>
    </row>
    <row r="68">
      <c r="A68" s="29" t="n"/>
      <c r="B68" s="29" t="n"/>
      <c r="C68" s="30" t="n"/>
      <c r="D68" s="30" t="n"/>
      <c r="E68" s="29" t="n"/>
      <c r="F68" s="29" t="n"/>
      <c r="G68" s="31" t="n"/>
      <c r="H68" s="32" t="n"/>
      <c r="I68" s="29" t="n"/>
      <c r="J68" s="33">
        <f>IF(H68="",0,IFERROR(H68*INDEX(FX_Rate,MATCH(IF(I68="","GBP",I68),FX_Code,0)),0))</f>
        <v/>
      </c>
      <c r="K68" s="33">
        <f>IF(ISNUMBER(G68),G68*J68,0)</f>
        <v/>
      </c>
      <c r="L68" s="34" t="n"/>
      <c r="M68" s="35" t="n"/>
      <c r="N68" s="36" t="n"/>
      <c r="O68" s="37" t="n"/>
      <c r="P68" s="37" t="n"/>
      <c r="Q68" s="38">
        <f>IF(OR(N68="",M68=""),"",INT(N68-IF(O68="",DefaultBuffer,O68)-M68*7-IF(P68="",DefaultApproval,P68)))</f>
        <v/>
      </c>
      <c r="R68" s="39">
        <f>IF(Q68="","",Q68-TODAY())</f>
        <v/>
      </c>
      <c r="S68" s="40">
        <f>IF(C68="","",IF(OR(T68="On hold",T68="Out of stock"),"Blocked",IF(ISNUMBER(MATCH(T68,OrderedStatuses,0)),"OK",IF(Q68="","Needs dates",IF(R68&lt;0,"Late",IF(R68&lt;=NudgeDays,"At risk","OK"))))))</f>
        <v/>
      </c>
      <c r="T68" s="29" t="n"/>
      <c r="U68" s="36" t="n"/>
      <c r="V68" s="29" t="n"/>
      <c r="W68" s="30" t="n"/>
    </row>
    <row r="69">
      <c r="A69" s="29" t="n"/>
      <c r="B69" s="29" t="n"/>
      <c r="C69" s="30" t="n"/>
      <c r="D69" s="30" t="n"/>
      <c r="E69" s="29" t="n"/>
      <c r="F69" s="29" t="n"/>
      <c r="G69" s="31" t="n"/>
      <c r="H69" s="32" t="n"/>
      <c r="I69" s="29" t="n"/>
      <c r="J69" s="33">
        <f>IF(H69="",0,IFERROR(H69*INDEX(FX_Rate,MATCH(IF(I69="","GBP",I69),FX_Code,0)),0))</f>
        <v/>
      </c>
      <c r="K69" s="33">
        <f>IF(ISNUMBER(G69),G69*J69,0)</f>
        <v/>
      </c>
      <c r="L69" s="34" t="n"/>
      <c r="M69" s="35" t="n"/>
      <c r="N69" s="36" t="n"/>
      <c r="O69" s="37" t="n"/>
      <c r="P69" s="37" t="n"/>
      <c r="Q69" s="38">
        <f>IF(OR(N69="",M69=""),"",INT(N69-IF(O69="",DefaultBuffer,O69)-M69*7-IF(P69="",DefaultApproval,P69)))</f>
        <v/>
      </c>
      <c r="R69" s="39">
        <f>IF(Q69="","",Q69-TODAY())</f>
        <v/>
      </c>
      <c r="S69" s="40">
        <f>IF(C69="","",IF(OR(T69="On hold",T69="Out of stock"),"Blocked",IF(ISNUMBER(MATCH(T69,OrderedStatuses,0)),"OK",IF(Q69="","Needs dates",IF(R69&lt;0,"Late",IF(R69&lt;=NudgeDays,"At risk","OK"))))))</f>
        <v/>
      </c>
      <c r="T69" s="29" t="n"/>
      <c r="U69" s="36" t="n"/>
      <c r="V69" s="29" t="n"/>
      <c r="W69" s="30" t="n"/>
    </row>
    <row r="70">
      <c r="A70" s="29" t="n"/>
      <c r="B70" s="29" t="n"/>
      <c r="C70" s="30" t="n"/>
      <c r="D70" s="30" t="n"/>
      <c r="E70" s="29" t="n"/>
      <c r="F70" s="29" t="n"/>
      <c r="G70" s="31" t="n"/>
      <c r="H70" s="32" t="n"/>
      <c r="I70" s="29" t="n"/>
      <c r="J70" s="33">
        <f>IF(H70="",0,IFERROR(H70*INDEX(FX_Rate,MATCH(IF(I70="","GBP",I70),FX_Code,0)),0))</f>
        <v/>
      </c>
      <c r="K70" s="33">
        <f>IF(ISNUMBER(G70),G70*J70,0)</f>
        <v/>
      </c>
      <c r="L70" s="34" t="n"/>
      <c r="M70" s="35" t="n"/>
      <c r="N70" s="36" t="n"/>
      <c r="O70" s="37" t="n"/>
      <c r="P70" s="37" t="n"/>
      <c r="Q70" s="38">
        <f>IF(OR(N70="",M70=""),"",INT(N70-IF(O70="",DefaultBuffer,O70)-M70*7-IF(P70="",DefaultApproval,P70)))</f>
        <v/>
      </c>
      <c r="R70" s="39">
        <f>IF(Q70="","",Q70-TODAY())</f>
        <v/>
      </c>
      <c r="S70" s="40">
        <f>IF(C70="","",IF(OR(T70="On hold",T70="Out of stock"),"Blocked",IF(ISNUMBER(MATCH(T70,OrderedStatuses,0)),"OK",IF(Q70="","Needs dates",IF(R70&lt;0,"Late",IF(R70&lt;=NudgeDays,"At risk","OK"))))))</f>
        <v/>
      </c>
      <c r="T70" s="29" t="n"/>
      <c r="U70" s="36" t="n"/>
      <c r="V70" s="29" t="n"/>
      <c r="W70" s="30" t="n"/>
    </row>
    <row r="71">
      <c r="A71" s="29" t="n"/>
      <c r="B71" s="29" t="n"/>
      <c r="C71" s="30" t="n"/>
      <c r="D71" s="30" t="n"/>
      <c r="E71" s="29" t="n"/>
      <c r="F71" s="29" t="n"/>
      <c r="G71" s="31" t="n"/>
      <c r="H71" s="32" t="n"/>
      <c r="I71" s="29" t="n"/>
      <c r="J71" s="33">
        <f>IF(H71="",0,IFERROR(H71*INDEX(FX_Rate,MATCH(IF(I71="","GBP",I71),FX_Code,0)),0))</f>
        <v/>
      </c>
      <c r="K71" s="33">
        <f>IF(ISNUMBER(G71),G71*J71,0)</f>
        <v/>
      </c>
      <c r="L71" s="34" t="n"/>
      <c r="M71" s="35" t="n"/>
      <c r="N71" s="36" t="n"/>
      <c r="O71" s="37" t="n"/>
      <c r="P71" s="37" t="n"/>
      <c r="Q71" s="38">
        <f>IF(OR(N71="",M71=""),"",INT(N71-IF(O71="",DefaultBuffer,O71)-M71*7-IF(P71="",DefaultApproval,P71)))</f>
        <v/>
      </c>
      <c r="R71" s="39">
        <f>IF(Q71="","",Q71-TODAY())</f>
        <v/>
      </c>
      <c r="S71" s="40">
        <f>IF(C71="","",IF(OR(T71="On hold",T71="Out of stock"),"Blocked",IF(ISNUMBER(MATCH(T71,OrderedStatuses,0)),"OK",IF(Q71="","Needs dates",IF(R71&lt;0,"Late",IF(R71&lt;=NudgeDays,"At risk","OK"))))))</f>
        <v/>
      </c>
      <c r="T71" s="29" t="n"/>
      <c r="U71" s="36" t="n"/>
      <c r="V71" s="29" t="n"/>
      <c r="W71" s="30" t="n"/>
    </row>
    <row r="72">
      <c r="A72" s="29" t="n"/>
      <c r="B72" s="29" t="n"/>
      <c r="C72" s="30" t="n"/>
      <c r="D72" s="30" t="n"/>
      <c r="E72" s="29" t="n"/>
      <c r="F72" s="29" t="n"/>
      <c r="G72" s="31" t="n"/>
      <c r="H72" s="32" t="n"/>
      <c r="I72" s="29" t="n"/>
      <c r="J72" s="33">
        <f>IF(H72="",0,IFERROR(H72*INDEX(FX_Rate,MATCH(IF(I72="","GBP",I72),FX_Code,0)),0))</f>
        <v/>
      </c>
      <c r="K72" s="33">
        <f>IF(ISNUMBER(G72),G72*J72,0)</f>
        <v/>
      </c>
      <c r="L72" s="34" t="n"/>
      <c r="M72" s="35" t="n"/>
      <c r="N72" s="36" t="n"/>
      <c r="O72" s="37" t="n"/>
      <c r="P72" s="37" t="n"/>
      <c r="Q72" s="38">
        <f>IF(OR(N72="",M72=""),"",INT(N72-IF(O72="",DefaultBuffer,O72)-M72*7-IF(P72="",DefaultApproval,P72)))</f>
        <v/>
      </c>
      <c r="R72" s="39">
        <f>IF(Q72="","",Q72-TODAY())</f>
        <v/>
      </c>
      <c r="S72" s="40">
        <f>IF(C72="","",IF(OR(T72="On hold",T72="Out of stock"),"Blocked",IF(ISNUMBER(MATCH(T72,OrderedStatuses,0)),"OK",IF(Q72="","Needs dates",IF(R72&lt;0,"Late",IF(R72&lt;=NudgeDays,"At risk","OK"))))))</f>
        <v/>
      </c>
      <c r="T72" s="29" t="n"/>
      <c r="U72" s="36" t="n"/>
      <c r="V72" s="29" t="n"/>
      <c r="W72" s="30" t="n"/>
    </row>
    <row r="73">
      <c r="A73" s="29" t="n"/>
      <c r="B73" s="29" t="n"/>
      <c r="C73" s="30" t="n"/>
      <c r="D73" s="30" t="n"/>
      <c r="E73" s="29" t="n"/>
      <c r="F73" s="29" t="n"/>
      <c r="G73" s="31" t="n"/>
      <c r="H73" s="32" t="n"/>
      <c r="I73" s="29" t="n"/>
      <c r="J73" s="33">
        <f>IF(H73="",0,IFERROR(H73*INDEX(FX_Rate,MATCH(IF(I73="","GBP",I73),FX_Code,0)),0))</f>
        <v/>
      </c>
      <c r="K73" s="33">
        <f>IF(ISNUMBER(G73),G73*J73,0)</f>
        <v/>
      </c>
      <c r="L73" s="34" t="n"/>
      <c r="M73" s="35" t="n"/>
      <c r="N73" s="36" t="n"/>
      <c r="O73" s="37" t="n"/>
      <c r="P73" s="37" t="n"/>
      <c r="Q73" s="38">
        <f>IF(OR(N73="",M73=""),"",INT(N73-IF(O73="",DefaultBuffer,O73)-M73*7-IF(P73="",DefaultApproval,P73)))</f>
        <v/>
      </c>
      <c r="R73" s="39">
        <f>IF(Q73="","",Q73-TODAY())</f>
        <v/>
      </c>
      <c r="S73" s="40">
        <f>IF(C73="","",IF(OR(T73="On hold",T73="Out of stock"),"Blocked",IF(ISNUMBER(MATCH(T73,OrderedStatuses,0)),"OK",IF(Q73="","Needs dates",IF(R73&lt;0,"Late",IF(R73&lt;=NudgeDays,"At risk","OK"))))))</f>
        <v/>
      </c>
      <c r="T73" s="29" t="n"/>
      <c r="U73" s="36" t="n"/>
      <c r="V73" s="29" t="n"/>
      <c r="W73" s="30" t="n"/>
    </row>
    <row r="74">
      <c r="A74" s="29" t="n"/>
      <c r="B74" s="29" t="n"/>
      <c r="C74" s="30" t="n"/>
      <c r="D74" s="30" t="n"/>
      <c r="E74" s="29" t="n"/>
      <c r="F74" s="29" t="n"/>
      <c r="G74" s="31" t="n"/>
      <c r="H74" s="32" t="n"/>
      <c r="I74" s="29" t="n"/>
      <c r="J74" s="33">
        <f>IF(H74="",0,IFERROR(H74*INDEX(FX_Rate,MATCH(IF(I74="","GBP",I74),FX_Code,0)),0))</f>
        <v/>
      </c>
      <c r="K74" s="33">
        <f>IF(ISNUMBER(G74),G74*J74,0)</f>
        <v/>
      </c>
      <c r="L74" s="34" t="n"/>
      <c r="M74" s="35" t="n"/>
      <c r="N74" s="36" t="n"/>
      <c r="O74" s="37" t="n"/>
      <c r="P74" s="37" t="n"/>
      <c r="Q74" s="38">
        <f>IF(OR(N74="",M74=""),"",INT(N74-IF(O74="",DefaultBuffer,O74)-M74*7-IF(P74="",DefaultApproval,P74)))</f>
        <v/>
      </c>
      <c r="R74" s="39">
        <f>IF(Q74="","",Q74-TODAY())</f>
        <v/>
      </c>
      <c r="S74" s="40">
        <f>IF(C74="","",IF(OR(T74="On hold",T74="Out of stock"),"Blocked",IF(ISNUMBER(MATCH(T74,OrderedStatuses,0)),"OK",IF(Q74="","Needs dates",IF(R74&lt;0,"Late",IF(R74&lt;=NudgeDays,"At risk","OK"))))))</f>
        <v/>
      </c>
      <c r="T74" s="29" t="n"/>
      <c r="U74" s="36" t="n"/>
      <c r="V74" s="29" t="n"/>
      <c r="W74" s="30" t="n"/>
    </row>
    <row r="75">
      <c r="A75" s="29" t="n"/>
      <c r="B75" s="29" t="n"/>
      <c r="C75" s="30" t="n"/>
      <c r="D75" s="30" t="n"/>
      <c r="E75" s="29" t="n"/>
      <c r="F75" s="29" t="n"/>
      <c r="G75" s="31" t="n"/>
      <c r="H75" s="32" t="n"/>
      <c r="I75" s="29" t="n"/>
      <c r="J75" s="33">
        <f>IF(H75="",0,IFERROR(H75*INDEX(FX_Rate,MATCH(IF(I75="","GBP",I75),FX_Code,0)),0))</f>
        <v/>
      </c>
      <c r="K75" s="33">
        <f>IF(ISNUMBER(G75),G75*J75,0)</f>
        <v/>
      </c>
      <c r="L75" s="34" t="n"/>
      <c r="M75" s="35" t="n"/>
      <c r="N75" s="36" t="n"/>
      <c r="O75" s="37" t="n"/>
      <c r="P75" s="37" t="n"/>
      <c r="Q75" s="38">
        <f>IF(OR(N75="",M75=""),"",INT(N75-IF(O75="",DefaultBuffer,O75)-M75*7-IF(P75="",DefaultApproval,P75)))</f>
        <v/>
      </c>
      <c r="R75" s="39">
        <f>IF(Q75="","",Q75-TODAY())</f>
        <v/>
      </c>
      <c r="S75" s="40">
        <f>IF(C75="","",IF(OR(T75="On hold",T75="Out of stock"),"Blocked",IF(ISNUMBER(MATCH(T75,OrderedStatuses,0)),"OK",IF(Q75="","Needs dates",IF(R75&lt;0,"Late",IF(R75&lt;=NudgeDays,"At risk","OK"))))))</f>
        <v/>
      </c>
      <c r="T75" s="29" t="n"/>
      <c r="U75" s="36" t="n"/>
      <c r="V75" s="29" t="n"/>
      <c r="W75" s="30" t="n"/>
    </row>
    <row r="76">
      <c r="A76" s="29" t="n"/>
      <c r="B76" s="29" t="n"/>
      <c r="C76" s="30" t="n"/>
      <c r="D76" s="30" t="n"/>
      <c r="E76" s="29" t="n"/>
      <c r="F76" s="29" t="n"/>
      <c r="G76" s="31" t="n"/>
      <c r="H76" s="32" t="n"/>
      <c r="I76" s="29" t="n"/>
      <c r="J76" s="33">
        <f>IF(H76="",0,IFERROR(H76*INDEX(FX_Rate,MATCH(IF(I76="","GBP",I76),FX_Code,0)),0))</f>
        <v/>
      </c>
      <c r="K76" s="33">
        <f>IF(ISNUMBER(G76),G76*J76,0)</f>
        <v/>
      </c>
      <c r="L76" s="34" t="n"/>
      <c r="M76" s="35" t="n"/>
      <c r="N76" s="36" t="n"/>
      <c r="O76" s="37" t="n"/>
      <c r="P76" s="37" t="n"/>
      <c r="Q76" s="38">
        <f>IF(OR(N76="",M76=""),"",INT(N76-IF(O76="",DefaultBuffer,O76)-M76*7-IF(P76="",DefaultApproval,P76)))</f>
        <v/>
      </c>
      <c r="R76" s="39">
        <f>IF(Q76="","",Q76-TODAY())</f>
        <v/>
      </c>
      <c r="S76" s="40">
        <f>IF(C76="","",IF(OR(T76="On hold",T76="Out of stock"),"Blocked",IF(ISNUMBER(MATCH(T76,OrderedStatuses,0)),"OK",IF(Q76="","Needs dates",IF(R76&lt;0,"Late",IF(R76&lt;=NudgeDays,"At risk","OK"))))))</f>
        <v/>
      </c>
      <c r="T76" s="29" t="n"/>
      <c r="U76" s="36" t="n"/>
      <c r="V76" s="29" t="n"/>
      <c r="W76" s="30" t="n"/>
    </row>
    <row r="77">
      <c r="A77" s="29" t="n"/>
      <c r="B77" s="29" t="n"/>
      <c r="C77" s="30" t="n"/>
      <c r="D77" s="30" t="n"/>
      <c r="E77" s="29" t="n"/>
      <c r="F77" s="29" t="n"/>
      <c r="G77" s="31" t="n"/>
      <c r="H77" s="32" t="n"/>
      <c r="I77" s="29" t="n"/>
      <c r="J77" s="33">
        <f>IF(H77="",0,IFERROR(H77*INDEX(FX_Rate,MATCH(IF(I77="","GBP",I77),FX_Code,0)),0))</f>
        <v/>
      </c>
      <c r="K77" s="33">
        <f>IF(ISNUMBER(G77),G77*J77,0)</f>
        <v/>
      </c>
      <c r="L77" s="34" t="n"/>
      <c r="M77" s="35" t="n"/>
      <c r="N77" s="36" t="n"/>
      <c r="O77" s="37" t="n"/>
      <c r="P77" s="37" t="n"/>
      <c r="Q77" s="38">
        <f>IF(OR(N77="",M77=""),"",INT(N77-IF(O77="",DefaultBuffer,O77)-M77*7-IF(P77="",DefaultApproval,P77)))</f>
        <v/>
      </c>
      <c r="R77" s="39">
        <f>IF(Q77="","",Q77-TODAY())</f>
        <v/>
      </c>
      <c r="S77" s="40">
        <f>IF(C77="","",IF(OR(T77="On hold",T77="Out of stock"),"Blocked",IF(ISNUMBER(MATCH(T77,OrderedStatuses,0)),"OK",IF(Q77="","Needs dates",IF(R77&lt;0,"Late",IF(R77&lt;=NudgeDays,"At risk","OK"))))))</f>
        <v/>
      </c>
      <c r="T77" s="29" t="n"/>
      <c r="U77" s="36" t="n"/>
      <c r="V77" s="29" t="n"/>
      <c r="W77" s="30" t="n"/>
    </row>
    <row r="78">
      <c r="A78" s="29" t="n"/>
      <c r="B78" s="29" t="n"/>
      <c r="C78" s="30" t="n"/>
      <c r="D78" s="30" t="n"/>
      <c r="E78" s="29" t="n"/>
      <c r="F78" s="29" t="n"/>
      <c r="G78" s="31" t="n"/>
      <c r="H78" s="32" t="n"/>
      <c r="I78" s="29" t="n"/>
      <c r="J78" s="33">
        <f>IF(H78="",0,IFERROR(H78*INDEX(FX_Rate,MATCH(IF(I78="","GBP",I78),FX_Code,0)),0))</f>
        <v/>
      </c>
      <c r="K78" s="33">
        <f>IF(ISNUMBER(G78),G78*J78,0)</f>
        <v/>
      </c>
      <c r="L78" s="34" t="n"/>
      <c r="M78" s="35" t="n"/>
      <c r="N78" s="36" t="n"/>
      <c r="O78" s="37" t="n"/>
      <c r="P78" s="37" t="n"/>
      <c r="Q78" s="38">
        <f>IF(OR(N78="",M78=""),"",INT(N78-IF(O78="",DefaultBuffer,O78)-M78*7-IF(P78="",DefaultApproval,P78)))</f>
        <v/>
      </c>
      <c r="R78" s="39">
        <f>IF(Q78="","",Q78-TODAY())</f>
        <v/>
      </c>
      <c r="S78" s="40">
        <f>IF(C78="","",IF(OR(T78="On hold",T78="Out of stock"),"Blocked",IF(ISNUMBER(MATCH(T78,OrderedStatuses,0)),"OK",IF(Q78="","Needs dates",IF(R78&lt;0,"Late",IF(R78&lt;=NudgeDays,"At risk","OK"))))))</f>
        <v/>
      </c>
      <c r="T78" s="29" t="n"/>
      <c r="U78" s="36" t="n"/>
      <c r="V78" s="29" t="n"/>
      <c r="W78" s="30" t="n"/>
    </row>
    <row r="79">
      <c r="A79" s="29" t="n"/>
      <c r="B79" s="29" t="n"/>
      <c r="C79" s="30" t="n"/>
      <c r="D79" s="30" t="n"/>
      <c r="E79" s="29" t="n"/>
      <c r="F79" s="29" t="n"/>
      <c r="G79" s="31" t="n"/>
      <c r="H79" s="32" t="n"/>
      <c r="I79" s="29" t="n"/>
      <c r="J79" s="33">
        <f>IF(H79="",0,IFERROR(H79*INDEX(FX_Rate,MATCH(IF(I79="","GBP",I79),FX_Code,0)),0))</f>
        <v/>
      </c>
      <c r="K79" s="33">
        <f>IF(ISNUMBER(G79),G79*J79,0)</f>
        <v/>
      </c>
      <c r="L79" s="34" t="n"/>
      <c r="M79" s="35" t="n"/>
      <c r="N79" s="36" t="n"/>
      <c r="O79" s="37" t="n"/>
      <c r="P79" s="37" t="n"/>
      <c r="Q79" s="38">
        <f>IF(OR(N79="",M79=""),"",INT(N79-IF(O79="",DefaultBuffer,O79)-M79*7-IF(P79="",DefaultApproval,P79)))</f>
        <v/>
      </c>
      <c r="R79" s="39">
        <f>IF(Q79="","",Q79-TODAY())</f>
        <v/>
      </c>
      <c r="S79" s="40">
        <f>IF(C79="","",IF(OR(T79="On hold",T79="Out of stock"),"Blocked",IF(ISNUMBER(MATCH(T79,OrderedStatuses,0)),"OK",IF(Q79="","Needs dates",IF(R79&lt;0,"Late",IF(R79&lt;=NudgeDays,"At risk","OK"))))))</f>
        <v/>
      </c>
      <c r="T79" s="29" t="n"/>
      <c r="U79" s="36" t="n"/>
      <c r="V79" s="29" t="n"/>
      <c r="W79" s="30" t="n"/>
    </row>
    <row r="80">
      <c r="A80" s="29" t="n"/>
      <c r="B80" s="29" t="n"/>
      <c r="C80" s="30" t="n"/>
      <c r="D80" s="30" t="n"/>
      <c r="E80" s="29" t="n"/>
      <c r="F80" s="29" t="n"/>
      <c r="G80" s="31" t="n"/>
      <c r="H80" s="32" t="n"/>
      <c r="I80" s="29" t="n"/>
      <c r="J80" s="33">
        <f>IF(H80="",0,IFERROR(H80*INDEX(FX_Rate,MATCH(IF(I80="","GBP",I80),FX_Code,0)),0))</f>
        <v/>
      </c>
      <c r="K80" s="33">
        <f>IF(ISNUMBER(G80),G80*J80,0)</f>
        <v/>
      </c>
      <c r="L80" s="34" t="n"/>
      <c r="M80" s="35" t="n"/>
      <c r="N80" s="36" t="n"/>
      <c r="O80" s="37" t="n"/>
      <c r="P80" s="37" t="n"/>
      <c r="Q80" s="38">
        <f>IF(OR(N80="",M80=""),"",INT(N80-IF(O80="",DefaultBuffer,O80)-M80*7-IF(P80="",DefaultApproval,P80)))</f>
        <v/>
      </c>
      <c r="R80" s="39">
        <f>IF(Q80="","",Q80-TODAY())</f>
        <v/>
      </c>
      <c r="S80" s="40">
        <f>IF(C80="","",IF(OR(T80="On hold",T80="Out of stock"),"Blocked",IF(ISNUMBER(MATCH(T80,OrderedStatuses,0)),"OK",IF(Q80="","Needs dates",IF(R80&lt;0,"Late",IF(R80&lt;=NudgeDays,"At risk","OK"))))))</f>
        <v/>
      </c>
      <c r="T80" s="29" t="n"/>
      <c r="U80" s="36" t="n"/>
      <c r="V80" s="29" t="n"/>
      <c r="W80" s="30" t="n"/>
    </row>
    <row r="81">
      <c r="A81" s="29" t="n"/>
      <c r="B81" s="29" t="n"/>
      <c r="C81" s="30" t="n"/>
      <c r="D81" s="30" t="n"/>
      <c r="E81" s="29" t="n"/>
      <c r="F81" s="29" t="n"/>
      <c r="G81" s="31" t="n"/>
      <c r="H81" s="32" t="n"/>
      <c r="I81" s="29" t="n"/>
      <c r="J81" s="33">
        <f>IF(H81="",0,IFERROR(H81*INDEX(FX_Rate,MATCH(IF(I81="","GBP",I81),FX_Code,0)),0))</f>
        <v/>
      </c>
      <c r="K81" s="33">
        <f>IF(ISNUMBER(G81),G81*J81,0)</f>
        <v/>
      </c>
      <c r="L81" s="34" t="n"/>
      <c r="M81" s="35" t="n"/>
      <c r="N81" s="36" t="n"/>
      <c r="O81" s="37" t="n"/>
      <c r="P81" s="37" t="n"/>
      <c r="Q81" s="38">
        <f>IF(OR(N81="",M81=""),"",INT(N81-IF(O81="",DefaultBuffer,O81)-M81*7-IF(P81="",DefaultApproval,P81)))</f>
        <v/>
      </c>
      <c r="R81" s="39">
        <f>IF(Q81="","",Q81-TODAY())</f>
        <v/>
      </c>
      <c r="S81" s="40">
        <f>IF(C81="","",IF(OR(T81="On hold",T81="Out of stock"),"Blocked",IF(ISNUMBER(MATCH(T81,OrderedStatuses,0)),"OK",IF(Q81="","Needs dates",IF(R81&lt;0,"Late",IF(R81&lt;=NudgeDays,"At risk","OK"))))))</f>
        <v/>
      </c>
      <c r="T81" s="29" t="n"/>
      <c r="U81" s="36" t="n"/>
      <c r="V81" s="29" t="n"/>
      <c r="W81" s="30" t="n"/>
    </row>
    <row r="82">
      <c r="A82" s="29" t="n"/>
      <c r="B82" s="29" t="n"/>
      <c r="C82" s="30" t="n"/>
      <c r="D82" s="30" t="n"/>
      <c r="E82" s="29" t="n"/>
      <c r="F82" s="29" t="n"/>
      <c r="G82" s="31" t="n"/>
      <c r="H82" s="32" t="n"/>
      <c r="I82" s="29" t="n"/>
      <c r="J82" s="33">
        <f>IF(H82="",0,IFERROR(H82*INDEX(FX_Rate,MATCH(IF(I82="","GBP",I82),FX_Code,0)),0))</f>
        <v/>
      </c>
      <c r="K82" s="33">
        <f>IF(ISNUMBER(G82),G82*J82,0)</f>
        <v/>
      </c>
      <c r="L82" s="34" t="n"/>
      <c r="M82" s="35" t="n"/>
      <c r="N82" s="36" t="n"/>
      <c r="O82" s="37" t="n"/>
      <c r="P82" s="37" t="n"/>
      <c r="Q82" s="38">
        <f>IF(OR(N82="",M82=""),"",INT(N82-IF(O82="",DefaultBuffer,O82)-M82*7-IF(P82="",DefaultApproval,P82)))</f>
        <v/>
      </c>
      <c r="R82" s="39">
        <f>IF(Q82="","",Q82-TODAY())</f>
        <v/>
      </c>
      <c r="S82" s="40">
        <f>IF(C82="","",IF(OR(T82="On hold",T82="Out of stock"),"Blocked",IF(ISNUMBER(MATCH(T82,OrderedStatuses,0)),"OK",IF(Q82="","Needs dates",IF(R82&lt;0,"Late",IF(R82&lt;=NudgeDays,"At risk","OK"))))))</f>
        <v/>
      </c>
      <c r="T82" s="29" t="n"/>
      <c r="U82" s="36" t="n"/>
      <c r="V82" s="29" t="n"/>
      <c r="W82" s="30" t="n"/>
    </row>
    <row r="83">
      <c r="A83" s="29" t="n"/>
      <c r="B83" s="29" t="n"/>
      <c r="C83" s="30" t="n"/>
      <c r="D83" s="30" t="n"/>
      <c r="E83" s="29" t="n"/>
      <c r="F83" s="29" t="n"/>
      <c r="G83" s="31" t="n"/>
      <c r="H83" s="32" t="n"/>
      <c r="I83" s="29" t="n"/>
      <c r="J83" s="33">
        <f>IF(H83="",0,IFERROR(H83*INDEX(FX_Rate,MATCH(IF(I83="","GBP",I83),FX_Code,0)),0))</f>
        <v/>
      </c>
      <c r="K83" s="33">
        <f>IF(ISNUMBER(G83),G83*J83,0)</f>
        <v/>
      </c>
      <c r="L83" s="34" t="n"/>
      <c r="M83" s="35" t="n"/>
      <c r="N83" s="36" t="n"/>
      <c r="O83" s="37" t="n"/>
      <c r="P83" s="37" t="n"/>
      <c r="Q83" s="38">
        <f>IF(OR(N83="",M83=""),"",INT(N83-IF(O83="",DefaultBuffer,O83)-M83*7-IF(P83="",DefaultApproval,P83)))</f>
        <v/>
      </c>
      <c r="R83" s="39">
        <f>IF(Q83="","",Q83-TODAY())</f>
        <v/>
      </c>
      <c r="S83" s="40">
        <f>IF(C83="","",IF(OR(T83="On hold",T83="Out of stock"),"Blocked",IF(ISNUMBER(MATCH(T83,OrderedStatuses,0)),"OK",IF(Q83="","Needs dates",IF(R83&lt;0,"Late",IF(R83&lt;=NudgeDays,"At risk","OK"))))))</f>
        <v/>
      </c>
      <c r="T83" s="29" t="n"/>
      <c r="U83" s="36" t="n"/>
      <c r="V83" s="29" t="n"/>
      <c r="W83" s="30" t="n"/>
    </row>
    <row r="84">
      <c r="A84" s="29" t="n"/>
      <c r="B84" s="29" t="n"/>
      <c r="C84" s="30" t="n"/>
      <c r="D84" s="30" t="n"/>
      <c r="E84" s="29" t="n"/>
      <c r="F84" s="29" t="n"/>
      <c r="G84" s="31" t="n"/>
      <c r="H84" s="32" t="n"/>
      <c r="I84" s="29" t="n"/>
      <c r="J84" s="33">
        <f>IF(H84="",0,IFERROR(H84*INDEX(FX_Rate,MATCH(IF(I84="","GBP",I84),FX_Code,0)),0))</f>
        <v/>
      </c>
      <c r="K84" s="33">
        <f>IF(ISNUMBER(G84),G84*J84,0)</f>
        <v/>
      </c>
      <c r="L84" s="34" t="n"/>
      <c r="M84" s="35" t="n"/>
      <c r="N84" s="36" t="n"/>
      <c r="O84" s="37" t="n"/>
      <c r="P84" s="37" t="n"/>
      <c r="Q84" s="38">
        <f>IF(OR(N84="",M84=""),"",INT(N84-IF(O84="",DefaultBuffer,O84)-M84*7-IF(P84="",DefaultApproval,P84)))</f>
        <v/>
      </c>
      <c r="R84" s="39">
        <f>IF(Q84="","",Q84-TODAY())</f>
        <v/>
      </c>
      <c r="S84" s="40">
        <f>IF(C84="","",IF(OR(T84="On hold",T84="Out of stock"),"Blocked",IF(ISNUMBER(MATCH(T84,OrderedStatuses,0)),"OK",IF(Q84="","Needs dates",IF(R84&lt;0,"Late",IF(R84&lt;=NudgeDays,"At risk","OK"))))))</f>
        <v/>
      </c>
      <c r="T84" s="29" t="n"/>
      <c r="U84" s="36" t="n"/>
      <c r="V84" s="29" t="n"/>
      <c r="W84" s="30" t="n"/>
    </row>
    <row r="85">
      <c r="A85" s="29" t="n"/>
      <c r="B85" s="29" t="n"/>
      <c r="C85" s="30" t="n"/>
      <c r="D85" s="30" t="n"/>
      <c r="E85" s="29" t="n"/>
      <c r="F85" s="29" t="n"/>
      <c r="G85" s="31" t="n"/>
      <c r="H85" s="32" t="n"/>
      <c r="I85" s="29" t="n"/>
      <c r="J85" s="33">
        <f>IF(H85="",0,IFERROR(H85*INDEX(FX_Rate,MATCH(IF(I85="","GBP",I85),FX_Code,0)),0))</f>
        <v/>
      </c>
      <c r="K85" s="33">
        <f>IF(ISNUMBER(G85),G85*J85,0)</f>
        <v/>
      </c>
      <c r="L85" s="34" t="n"/>
      <c r="M85" s="35" t="n"/>
      <c r="N85" s="36" t="n"/>
      <c r="O85" s="37" t="n"/>
      <c r="P85" s="37" t="n"/>
      <c r="Q85" s="38">
        <f>IF(OR(N85="",M85=""),"",INT(N85-IF(O85="",DefaultBuffer,O85)-M85*7-IF(P85="",DefaultApproval,P85)))</f>
        <v/>
      </c>
      <c r="R85" s="39">
        <f>IF(Q85="","",Q85-TODAY())</f>
        <v/>
      </c>
      <c r="S85" s="40">
        <f>IF(C85="","",IF(OR(T85="On hold",T85="Out of stock"),"Blocked",IF(ISNUMBER(MATCH(T85,OrderedStatuses,0)),"OK",IF(Q85="","Needs dates",IF(R85&lt;0,"Late",IF(R85&lt;=NudgeDays,"At risk","OK"))))))</f>
        <v/>
      </c>
      <c r="T85" s="29" t="n"/>
      <c r="U85" s="36" t="n"/>
      <c r="V85" s="29" t="n"/>
      <c r="W85" s="30" t="n"/>
    </row>
    <row r="86">
      <c r="A86" s="29" t="n"/>
      <c r="B86" s="29" t="n"/>
      <c r="C86" s="30" t="n"/>
      <c r="D86" s="30" t="n"/>
      <c r="E86" s="29" t="n"/>
      <c r="F86" s="29" t="n"/>
      <c r="G86" s="31" t="n"/>
      <c r="H86" s="32" t="n"/>
      <c r="I86" s="29" t="n"/>
      <c r="J86" s="33">
        <f>IF(H86="",0,IFERROR(H86*INDEX(FX_Rate,MATCH(IF(I86="","GBP",I86),FX_Code,0)),0))</f>
        <v/>
      </c>
      <c r="K86" s="33">
        <f>IF(ISNUMBER(G86),G86*J86,0)</f>
        <v/>
      </c>
      <c r="L86" s="34" t="n"/>
      <c r="M86" s="35" t="n"/>
      <c r="N86" s="36" t="n"/>
      <c r="O86" s="37" t="n"/>
      <c r="P86" s="37" t="n"/>
      <c r="Q86" s="38">
        <f>IF(OR(N86="",M86=""),"",INT(N86-IF(O86="",DefaultBuffer,O86)-M86*7-IF(P86="",DefaultApproval,P86)))</f>
        <v/>
      </c>
      <c r="R86" s="39">
        <f>IF(Q86="","",Q86-TODAY())</f>
        <v/>
      </c>
      <c r="S86" s="40">
        <f>IF(C86="","",IF(OR(T86="On hold",T86="Out of stock"),"Blocked",IF(ISNUMBER(MATCH(T86,OrderedStatuses,0)),"OK",IF(Q86="","Needs dates",IF(R86&lt;0,"Late",IF(R86&lt;=NudgeDays,"At risk","OK"))))))</f>
        <v/>
      </c>
      <c r="T86" s="29" t="n"/>
      <c r="U86" s="36" t="n"/>
      <c r="V86" s="29" t="n"/>
      <c r="W86" s="30" t="n"/>
    </row>
    <row r="87">
      <c r="A87" s="29" t="n"/>
      <c r="B87" s="29" t="n"/>
      <c r="C87" s="30" t="n"/>
      <c r="D87" s="30" t="n"/>
      <c r="E87" s="29" t="n"/>
      <c r="F87" s="29" t="n"/>
      <c r="G87" s="31" t="n"/>
      <c r="H87" s="32" t="n"/>
      <c r="I87" s="29" t="n"/>
      <c r="J87" s="33">
        <f>IF(H87="",0,IFERROR(H87*INDEX(FX_Rate,MATCH(IF(I87="","GBP",I87),FX_Code,0)),0))</f>
        <v/>
      </c>
      <c r="K87" s="33">
        <f>IF(ISNUMBER(G87),G87*J87,0)</f>
        <v/>
      </c>
      <c r="L87" s="34" t="n"/>
      <c r="M87" s="35" t="n"/>
      <c r="N87" s="36" t="n"/>
      <c r="O87" s="37" t="n"/>
      <c r="P87" s="37" t="n"/>
      <c r="Q87" s="38">
        <f>IF(OR(N87="",M87=""),"",INT(N87-IF(O87="",DefaultBuffer,O87)-M87*7-IF(P87="",DefaultApproval,P87)))</f>
        <v/>
      </c>
      <c r="R87" s="39">
        <f>IF(Q87="","",Q87-TODAY())</f>
        <v/>
      </c>
      <c r="S87" s="40">
        <f>IF(C87="","",IF(OR(T87="On hold",T87="Out of stock"),"Blocked",IF(ISNUMBER(MATCH(T87,OrderedStatuses,0)),"OK",IF(Q87="","Needs dates",IF(R87&lt;0,"Late",IF(R87&lt;=NudgeDays,"At risk","OK"))))))</f>
        <v/>
      </c>
      <c r="T87" s="29" t="n"/>
      <c r="U87" s="36" t="n"/>
      <c r="V87" s="29" t="n"/>
      <c r="W87" s="30" t="n"/>
    </row>
    <row r="88">
      <c r="A88" s="29" t="n"/>
      <c r="B88" s="29" t="n"/>
      <c r="C88" s="30" t="n"/>
      <c r="D88" s="30" t="n"/>
      <c r="E88" s="29" t="n"/>
      <c r="F88" s="29" t="n"/>
      <c r="G88" s="31" t="n"/>
      <c r="H88" s="32" t="n"/>
      <c r="I88" s="29" t="n"/>
      <c r="J88" s="33">
        <f>IF(H88="",0,IFERROR(H88*INDEX(FX_Rate,MATCH(IF(I88="","GBP",I88),FX_Code,0)),0))</f>
        <v/>
      </c>
      <c r="K88" s="33">
        <f>IF(ISNUMBER(G88),G88*J88,0)</f>
        <v/>
      </c>
      <c r="L88" s="34" t="n"/>
      <c r="M88" s="35" t="n"/>
      <c r="N88" s="36" t="n"/>
      <c r="O88" s="37" t="n"/>
      <c r="P88" s="37" t="n"/>
      <c r="Q88" s="38">
        <f>IF(OR(N88="",M88=""),"",INT(N88-IF(O88="",DefaultBuffer,O88)-M88*7-IF(P88="",DefaultApproval,P88)))</f>
        <v/>
      </c>
      <c r="R88" s="39">
        <f>IF(Q88="","",Q88-TODAY())</f>
        <v/>
      </c>
      <c r="S88" s="40">
        <f>IF(C88="","",IF(OR(T88="On hold",T88="Out of stock"),"Blocked",IF(ISNUMBER(MATCH(T88,OrderedStatuses,0)),"OK",IF(Q88="","Needs dates",IF(R88&lt;0,"Late",IF(R88&lt;=NudgeDays,"At risk","OK"))))))</f>
        <v/>
      </c>
      <c r="T88" s="29" t="n"/>
      <c r="U88" s="36" t="n"/>
      <c r="V88" s="29" t="n"/>
      <c r="W88" s="30" t="n"/>
    </row>
    <row r="89">
      <c r="A89" s="29" t="n"/>
      <c r="B89" s="29" t="n"/>
      <c r="C89" s="30" t="n"/>
      <c r="D89" s="30" t="n"/>
      <c r="E89" s="29" t="n"/>
      <c r="F89" s="29" t="n"/>
      <c r="G89" s="31" t="n"/>
      <c r="H89" s="32" t="n"/>
      <c r="I89" s="29" t="n"/>
      <c r="J89" s="33">
        <f>IF(H89="",0,IFERROR(H89*INDEX(FX_Rate,MATCH(IF(I89="","GBP",I89),FX_Code,0)),0))</f>
        <v/>
      </c>
      <c r="K89" s="33">
        <f>IF(ISNUMBER(G89),G89*J89,0)</f>
        <v/>
      </c>
      <c r="L89" s="34" t="n"/>
      <c r="M89" s="35" t="n"/>
      <c r="N89" s="36" t="n"/>
      <c r="O89" s="37" t="n"/>
      <c r="P89" s="37" t="n"/>
      <c r="Q89" s="38">
        <f>IF(OR(N89="",M89=""),"",INT(N89-IF(O89="",DefaultBuffer,O89)-M89*7-IF(P89="",DefaultApproval,P89)))</f>
        <v/>
      </c>
      <c r="R89" s="39">
        <f>IF(Q89="","",Q89-TODAY())</f>
        <v/>
      </c>
      <c r="S89" s="40">
        <f>IF(C89="","",IF(OR(T89="On hold",T89="Out of stock"),"Blocked",IF(ISNUMBER(MATCH(T89,OrderedStatuses,0)),"OK",IF(Q89="","Needs dates",IF(R89&lt;0,"Late",IF(R89&lt;=NudgeDays,"At risk","OK"))))))</f>
        <v/>
      </c>
      <c r="T89" s="29" t="n"/>
      <c r="U89" s="36" t="n"/>
      <c r="V89" s="29" t="n"/>
      <c r="W89" s="30" t="n"/>
    </row>
    <row r="90">
      <c r="A90" s="29" t="n"/>
      <c r="B90" s="29" t="n"/>
      <c r="C90" s="30" t="n"/>
      <c r="D90" s="30" t="n"/>
      <c r="E90" s="29" t="n"/>
      <c r="F90" s="29" t="n"/>
      <c r="G90" s="31" t="n"/>
      <c r="H90" s="32" t="n"/>
      <c r="I90" s="29" t="n"/>
      <c r="J90" s="33">
        <f>IF(H90="",0,IFERROR(H90*INDEX(FX_Rate,MATCH(IF(I90="","GBP",I90),FX_Code,0)),0))</f>
        <v/>
      </c>
      <c r="K90" s="33">
        <f>IF(ISNUMBER(G90),G90*J90,0)</f>
        <v/>
      </c>
      <c r="L90" s="34" t="n"/>
      <c r="M90" s="35" t="n"/>
      <c r="N90" s="36" t="n"/>
      <c r="O90" s="37" t="n"/>
      <c r="P90" s="37" t="n"/>
      <c r="Q90" s="38">
        <f>IF(OR(N90="",M90=""),"",INT(N90-IF(O90="",DefaultBuffer,O90)-M90*7-IF(P90="",DefaultApproval,P90)))</f>
        <v/>
      </c>
      <c r="R90" s="39">
        <f>IF(Q90="","",Q90-TODAY())</f>
        <v/>
      </c>
      <c r="S90" s="40">
        <f>IF(C90="","",IF(OR(T90="On hold",T90="Out of stock"),"Blocked",IF(ISNUMBER(MATCH(T90,OrderedStatuses,0)),"OK",IF(Q90="","Needs dates",IF(R90&lt;0,"Late",IF(R90&lt;=NudgeDays,"At risk","OK"))))))</f>
        <v/>
      </c>
      <c r="T90" s="29" t="n"/>
      <c r="U90" s="36" t="n"/>
      <c r="V90" s="29" t="n"/>
      <c r="W90" s="30" t="n"/>
    </row>
    <row r="91">
      <c r="A91" s="29" t="n"/>
      <c r="B91" s="29" t="n"/>
      <c r="C91" s="30" t="n"/>
      <c r="D91" s="30" t="n"/>
      <c r="E91" s="29" t="n"/>
      <c r="F91" s="29" t="n"/>
      <c r="G91" s="31" t="n"/>
      <c r="H91" s="32" t="n"/>
      <c r="I91" s="29" t="n"/>
      <c r="J91" s="33">
        <f>IF(H91="",0,IFERROR(H91*INDEX(FX_Rate,MATCH(IF(I91="","GBP",I91),FX_Code,0)),0))</f>
        <v/>
      </c>
      <c r="K91" s="33">
        <f>IF(ISNUMBER(G91),G91*J91,0)</f>
        <v/>
      </c>
      <c r="L91" s="34" t="n"/>
      <c r="M91" s="35" t="n"/>
      <c r="N91" s="36" t="n"/>
      <c r="O91" s="37" t="n"/>
      <c r="P91" s="37" t="n"/>
      <c r="Q91" s="38">
        <f>IF(OR(N91="",M91=""),"",INT(N91-IF(O91="",DefaultBuffer,O91)-M91*7-IF(P91="",DefaultApproval,P91)))</f>
        <v/>
      </c>
      <c r="R91" s="39">
        <f>IF(Q91="","",Q91-TODAY())</f>
        <v/>
      </c>
      <c r="S91" s="40">
        <f>IF(C91="","",IF(OR(T91="On hold",T91="Out of stock"),"Blocked",IF(ISNUMBER(MATCH(T91,OrderedStatuses,0)),"OK",IF(Q91="","Needs dates",IF(R91&lt;0,"Late",IF(R91&lt;=NudgeDays,"At risk","OK"))))))</f>
        <v/>
      </c>
      <c r="T91" s="29" t="n"/>
      <c r="U91" s="36" t="n"/>
      <c r="V91" s="29" t="n"/>
      <c r="W91" s="30" t="n"/>
    </row>
    <row r="92">
      <c r="A92" s="29" t="n"/>
      <c r="B92" s="29" t="n"/>
      <c r="C92" s="30" t="n"/>
      <c r="D92" s="30" t="n"/>
      <c r="E92" s="29" t="n"/>
      <c r="F92" s="29" t="n"/>
      <c r="G92" s="31" t="n"/>
      <c r="H92" s="32" t="n"/>
      <c r="I92" s="29" t="n"/>
      <c r="J92" s="33">
        <f>IF(H92="",0,IFERROR(H92*INDEX(FX_Rate,MATCH(IF(I92="","GBP",I92),FX_Code,0)),0))</f>
        <v/>
      </c>
      <c r="K92" s="33">
        <f>IF(ISNUMBER(G92),G92*J92,0)</f>
        <v/>
      </c>
      <c r="L92" s="34" t="n"/>
      <c r="M92" s="35" t="n"/>
      <c r="N92" s="36" t="n"/>
      <c r="O92" s="37" t="n"/>
      <c r="P92" s="37" t="n"/>
      <c r="Q92" s="38">
        <f>IF(OR(N92="",M92=""),"",INT(N92-IF(O92="",DefaultBuffer,O92)-M92*7-IF(P92="",DefaultApproval,P92)))</f>
        <v/>
      </c>
      <c r="R92" s="39">
        <f>IF(Q92="","",Q92-TODAY())</f>
        <v/>
      </c>
      <c r="S92" s="40">
        <f>IF(C92="","",IF(OR(T92="On hold",T92="Out of stock"),"Blocked",IF(ISNUMBER(MATCH(T92,OrderedStatuses,0)),"OK",IF(Q92="","Needs dates",IF(R92&lt;0,"Late",IF(R92&lt;=NudgeDays,"At risk","OK"))))))</f>
        <v/>
      </c>
      <c r="T92" s="29" t="n"/>
      <c r="U92" s="36" t="n"/>
      <c r="V92" s="29" t="n"/>
      <c r="W92" s="30" t="n"/>
    </row>
    <row r="93">
      <c r="A93" s="29" t="n"/>
      <c r="B93" s="29" t="n"/>
      <c r="C93" s="30" t="n"/>
      <c r="D93" s="30" t="n"/>
      <c r="E93" s="29" t="n"/>
      <c r="F93" s="29" t="n"/>
      <c r="G93" s="31" t="n"/>
      <c r="H93" s="32" t="n"/>
      <c r="I93" s="29" t="n"/>
      <c r="J93" s="33">
        <f>IF(H93="",0,IFERROR(H93*INDEX(FX_Rate,MATCH(IF(I93="","GBP",I93),FX_Code,0)),0))</f>
        <v/>
      </c>
      <c r="K93" s="33">
        <f>IF(ISNUMBER(G93),G93*J93,0)</f>
        <v/>
      </c>
      <c r="L93" s="34" t="n"/>
      <c r="M93" s="35" t="n"/>
      <c r="N93" s="36" t="n"/>
      <c r="O93" s="37" t="n"/>
      <c r="P93" s="37" t="n"/>
      <c r="Q93" s="38">
        <f>IF(OR(N93="",M93=""),"",INT(N93-IF(O93="",DefaultBuffer,O93)-M93*7-IF(P93="",DefaultApproval,P93)))</f>
        <v/>
      </c>
      <c r="R93" s="39">
        <f>IF(Q93="","",Q93-TODAY())</f>
        <v/>
      </c>
      <c r="S93" s="40">
        <f>IF(C93="","",IF(OR(T93="On hold",T93="Out of stock"),"Blocked",IF(ISNUMBER(MATCH(T93,OrderedStatuses,0)),"OK",IF(Q93="","Needs dates",IF(R93&lt;0,"Late",IF(R93&lt;=NudgeDays,"At risk","OK"))))))</f>
        <v/>
      </c>
      <c r="T93" s="29" t="n"/>
      <c r="U93" s="36" t="n"/>
      <c r="V93" s="29" t="n"/>
      <c r="W93" s="30" t="n"/>
    </row>
    <row r="94">
      <c r="A94" s="29" t="n"/>
      <c r="B94" s="29" t="n"/>
      <c r="C94" s="30" t="n"/>
      <c r="D94" s="30" t="n"/>
      <c r="E94" s="29" t="n"/>
      <c r="F94" s="29" t="n"/>
      <c r="G94" s="31" t="n"/>
      <c r="H94" s="32" t="n"/>
      <c r="I94" s="29" t="n"/>
      <c r="J94" s="33">
        <f>IF(H94="",0,IFERROR(H94*INDEX(FX_Rate,MATCH(IF(I94="","GBP",I94),FX_Code,0)),0))</f>
        <v/>
      </c>
      <c r="K94" s="33">
        <f>IF(ISNUMBER(G94),G94*J94,0)</f>
        <v/>
      </c>
      <c r="L94" s="34" t="n"/>
      <c r="M94" s="35" t="n"/>
      <c r="N94" s="36" t="n"/>
      <c r="O94" s="37" t="n"/>
      <c r="P94" s="37" t="n"/>
      <c r="Q94" s="38">
        <f>IF(OR(N94="",M94=""),"",INT(N94-IF(O94="",DefaultBuffer,O94)-M94*7-IF(P94="",DefaultApproval,P94)))</f>
        <v/>
      </c>
      <c r="R94" s="39">
        <f>IF(Q94="","",Q94-TODAY())</f>
        <v/>
      </c>
      <c r="S94" s="40">
        <f>IF(C94="","",IF(OR(T94="On hold",T94="Out of stock"),"Blocked",IF(ISNUMBER(MATCH(T94,OrderedStatuses,0)),"OK",IF(Q94="","Needs dates",IF(R94&lt;0,"Late",IF(R94&lt;=NudgeDays,"At risk","OK"))))))</f>
        <v/>
      </c>
      <c r="T94" s="29" t="n"/>
      <c r="U94" s="36" t="n"/>
      <c r="V94" s="29" t="n"/>
      <c r="W94" s="30" t="n"/>
    </row>
    <row r="95">
      <c r="A95" s="29" t="n"/>
      <c r="B95" s="29" t="n"/>
      <c r="C95" s="30" t="n"/>
      <c r="D95" s="30" t="n"/>
      <c r="E95" s="29" t="n"/>
      <c r="F95" s="29" t="n"/>
      <c r="G95" s="31" t="n"/>
      <c r="H95" s="32" t="n"/>
      <c r="I95" s="29" t="n"/>
      <c r="J95" s="33">
        <f>IF(H95="",0,IFERROR(H95*INDEX(FX_Rate,MATCH(IF(I95="","GBP",I95),FX_Code,0)),0))</f>
        <v/>
      </c>
      <c r="K95" s="33">
        <f>IF(ISNUMBER(G95),G95*J95,0)</f>
        <v/>
      </c>
      <c r="L95" s="34" t="n"/>
      <c r="M95" s="35" t="n"/>
      <c r="N95" s="36" t="n"/>
      <c r="O95" s="37" t="n"/>
      <c r="P95" s="37" t="n"/>
      <c r="Q95" s="38">
        <f>IF(OR(N95="",M95=""),"",INT(N95-IF(O95="",DefaultBuffer,O95)-M95*7-IF(P95="",DefaultApproval,P95)))</f>
        <v/>
      </c>
      <c r="R95" s="39">
        <f>IF(Q95="","",Q95-TODAY())</f>
        <v/>
      </c>
      <c r="S95" s="40">
        <f>IF(C95="","",IF(OR(T95="On hold",T95="Out of stock"),"Blocked",IF(ISNUMBER(MATCH(T95,OrderedStatuses,0)),"OK",IF(Q95="","Needs dates",IF(R95&lt;0,"Late",IF(R95&lt;=NudgeDays,"At risk","OK"))))))</f>
        <v/>
      </c>
      <c r="T95" s="29" t="n"/>
      <c r="U95" s="36" t="n"/>
      <c r="V95" s="29" t="n"/>
      <c r="W95" s="30" t="n"/>
    </row>
    <row r="96">
      <c r="A96" s="29" t="n"/>
      <c r="B96" s="29" t="n"/>
      <c r="C96" s="30" t="n"/>
      <c r="D96" s="30" t="n"/>
      <c r="E96" s="29" t="n"/>
      <c r="F96" s="29" t="n"/>
      <c r="G96" s="31" t="n"/>
      <c r="H96" s="32" t="n"/>
      <c r="I96" s="29" t="n"/>
      <c r="J96" s="33">
        <f>IF(H96="",0,IFERROR(H96*INDEX(FX_Rate,MATCH(IF(I96="","GBP",I96),FX_Code,0)),0))</f>
        <v/>
      </c>
      <c r="K96" s="33">
        <f>IF(ISNUMBER(G96),G96*J96,0)</f>
        <v/>
      </c>
      <c r="L96" s="34" t="n"/>
      <c r="M96" s="35" t="n"/>
      <c r="N96" s="36" t="n"/>
      <c r="O96" s="37" t="n"/>
      <c r="P96" s="37" t="n"/>
      <c r="Q96" s="38">
        <f>IF(OR(N96="",M96=""),"",INT(N96-IF(O96="",DefaultBuffer,O96)-M96*7-IF(P96="",DefaultApproval,P96)))</f>
        <v/>
      </c>
      <c r="R96" s="39">
        <f>IF(Q96="","",Q96-TODAY())</f>
        <v/>
      </c>
      <c r="S96" s="40">
        <f>IF(C96="","",IF(OR(T96="On hold",T96="Out of stock"),"Blocked",IF(ISNUMBER(MATCH(T96,OrderedStatuses,0)),"OK",IF(Q96="","Needs dates",IF(R96&lt;0,"Late",IF(R96&lt;=NudgeDays,"At risk","OK"))))))</f>
        <v/>
      </c>
      <c r="T96" s="29" t="n"/>
      <c r="U96" s="36" t="n"/>
      <c r="V96" s="29" t="n"/>
      <c r="W96" s="30" t="n"/>
    </row>
    <row r="97">
      <c r="A97" s="29" t="n"/>
      <c r="B97" s="29" t="n"/>
      <c r="C97" s="30" t="n"/>
      <c r="D97" s="30" t="n"/>
      <c r="E97" s="29" t="n"/>
      <c r="F97" s="29" t="n"/>
      <c r="G97" s="31" t="n"/>
      <c r="H97" s="32" t="n"/>
      <c r="I97" s="29" t="n"/>
      <c r="J97" s="33">
        <f>IF(H97="",0,IFERROR(H97*INDEX(FX_Rate,MATCH(IF(I97="","GBP",I97),FX_Code,0)),0))</f>
        <v/>
      </c>
      <c r="K97" s="33">
        <f>IF(ISNUMBER(G97),G97*J97,0)</f>
        <v/>
      </c>
      <c r="L97" s="34" t="n"/>
      <c r="M97" s="35" t="n"/>
      <c r="N97" s="36" t="n"/>
      <c r="O97" s="37" t="n"/>
      <c r="P97" s="37" t="n"/>
      <c r="Q97" s="38">
        <f>IF(OR(N97="",M97=""),"",INT(N97-IF(O97="",DefaultBuffer,O97)-M97*7-IF(P97="",DefaultApproval,P97)))</f>
        <v/>
      </c>
      <c r="R97" s="39">
        <f>IF(Q97="","",Q97-TODAY())</f>
        <v/>
      </c>
      <c r="S97" s="40">
        <f>IF(C97="","",IF(OR(T97="On hold",T97="Out of stock"),"Blocked",IF(ISNUMBER(MATCH(T97,OrderedStatuses,0)),"OK",IF(Q97="","Needs dates",IF(R97&lt;0,"Late",IF(R97&lt;=NudgeDays,"At risk","OK"))))))</f>
        <v/>
      </c>
      <c r="T97" s="29" t="n"/>
      <c r="U97" s="36" t="n"/>
      <c r="V97" s="29" t="n"/>
      <c r="W97" s="30" t="n"/>
    </row>
    <row r="98">
      <c r="A98" s="29" t="n"/>
      <c r="B98" s="29" t="n"/>
      <c r="C98" s="30" t="n"/>
      <c r="D98" s="30" t="n"/>
      <c r="E98" s="29" t="n"/>
      <c r="F98" s="29" t="n"/>
      <c r="G98" s="31" t="n"/>
      <c r="H98" s="32" t="n"/>
      <c r="I98" s="29" t="n"/>
      <c r="J98" s="33">
        <f>IF(H98="",0,IFERROR(H98*INDEX(FX_Rate,MATCH(IF(I98="","GBP",I98),FX_Code,0)),0))</f>
        <v/>
      </c>
      <c r="K98" s="33">
        <f>IF(ISNUMBER(G98),G98*J98,0)</f>
        <v/>
      </c>
      <c r="L98" s="34" t="n"/>
      <c r="M98" s="35" t="n"/>
      <c r="N98" s="36" t="n"/>
      <c r="O98" s="37" t="n"/>
      <c r="P98" s="37" t="n"/>
      <c r="Q98" s="38">
        <f>IF(OR(N98="",M98=""),"",INT(N98-IF(O98="",DefaultBuffer,O98)-M98*7-IF(P98="",DefaultApproval,P98)))</f>
        <v/>
      </c>
      <c r="R98" s="39">
        <f>IF(Q98="","",Q98-TODAY())</f>
        <v/>
      </c>
      <c r="S98" s="40">
        <f>IF(C98="","",IF(OR(T98="On hold",T98="Out of stock"),"Blocked",IF(ISNUMBER(MATCH(T98,OrderedStatuses,0)),"OK",IF(Q98="","Needs dates",IF(R98&lt;0,"Late",IF(R98&lt;=NudgeDays,"At risk","OK"))))))</f>
        <v/>
      </c>
      <c r="T98" s="29" t="n"/>
      <c r="U98" s="36" t="n"/>
      <c r="V98" s="29" t="n"/>
      <c r="W98" s="30" t="n"/>
    </row>
    <row r="99">
      <c r="A99" s="29" t="n"/>
      <c r="B99" s="29" t="n"/>
      <c r="C99" s="30" t="n"/>
      <c r="D99" s="30" t="n"/>
      <c r="E99" s="29" t="n"/>
      <c r="F99" s="29" t="n"/>
      <c r="G99" s="31" t="n"/>
      <c r="H99" s="32" t="n"/>
      <c r="I99" s="29" t="n"/>
      <c r="J99" s="33">
        <f>IF(H99="",0,IFERROR(H99*INDEX(FX_Rate,MATCH(IF(I99="","GBP",I99),FX_Code,0)),0))</f>
        <v/>
      </c>
      <c r="K99" s="33">
        <f>IF(ISNUMBER(G99),G99*J99,0)</f>
        <v/>
      </c>
      <c r="L99" s="34" t="n"/>
      <c r="M99" s="35" t="n"/>
      <c r="N99" s="36" t="n"/>
      <c r="O99" s="37" t="n"/>
      <c r="P99" s="37" t="n"/>
      <c r="Q99" s="38">
        <f>IF(OR(N99="",M99=""),"",INT(N99-IF(O99="",DefaultBuffer,O99)-M99*7-IF(P99="",DefaultApproval,P99)))</f>
        <v/>
      </c>
      <c r="R99" s="39">
        <f>IF(Q99="","",Q99-TODAY())</f>
        <v/>
      </c>
      <c r="S99" s="40">
        <f>IF(C99="","",IF(OR(T99="On hold",T99="Out of stock"),"Blocked",IF(ISNUMBER(MATCH(T99,OrderedStatuses,0)),"OK",IF(Q99="","Needs dates",IF(R99&lt;0,"Late",IF(R99&lt;=NudgeDays,"At risk","OK"))))))</f>
        <v/>
      </c>
      <c r="T99" s="29" t="n"/>
      <c r="U99" s="36" t="n"/>
      <c r="V99" s="29" t="n"/>
      <c r="W99" s="30" t="n"/>
    </row>
    <row r="100">
      <c r="A100" s="29" t="n"/>
      <c r="B100" s="29" t="n"/>
      <c r="C100" s="30" t="n"/>
      <c r="D100" s="30" t="n"/>
      <c r="E100" s="29" t="n"/>
      <c r="F100" s="29" t="n"/>
      <c r="G100" s="31" t="n"/>
      <c r="H100" s="32" t="n"/>
      <c r="I100" s="29" t="n"/>
      <c r="J100" s="33">
        <f>IF(H100="",0,IFERROR(H100*INDEX(FX_Rate,MATCH(IF(I100="","GBP",I100),FX_Code,0)),0))</f>
        <v/>
      </c>
      <c r="K100" s="33">
        <f>IF(ISNUMBER(G100),G100*J100,0)</f>
        <v/>
      </c>
      <c r="L100" s="34" t="n"/>
      <c r="M100" s="35" t="n"/>
      <c r="N100" s="36" t="n"/>
      <c r="O100" s="37" t="n"/>
      <c r="P100" s="37" t="n"/>
      <c r="Q100" s="38">
        <f>IF(OR(N100="",M100=""),"",INT(N100-IF(O100="",DefaultBuffer,O100)-M100*7-IF(P100="",DefaultApproval,P100)))</f>
        <v/>
      </c>
      <c r="R100" s="39">
        <f>IF(Q100="","",Q100-TODAY())</f>
        <v/>
      </c>
      <c r="S100" s="40">
        <f>IF(C100="","",IF(OR(T100="On hold",T100="Out of stock"),"Blocked",IF(ISNUMBER(MATCH(T100,OrderedStatuses,0)),"OK",IF(Q100="","Needs dates",IF(R100&lt;0,"Late",IF(R100&lt;=NudgeDays,"At risk","OK"))))))</f>
        <v/>
      </c>
      <c r="T100" s="29" t="n"/>
      <c r="U100" s="36" t="n"/>
      <c r="V100" s="29" t="n"/>
      <c r="W100" s="30" t="n"/>
    </row>
    <row r="101">
      <c r="A101" s="29" t="n"/>
      <c r="B101" s="29" t="n"/>
      <c r="C101" s="30" t="n"/>
      <c r="D101" s="30" t="n"/>
      <c r="E101" s="29" t="n"/>
      <c r="F101" s="29" t="n"/>
      <c r="G101" s="31" t="n"/>
      <c r="H101" s="32" t="n"/>
      <c r="I101" s="29" t="n"/>
      <c r="J101" s="33">
        <f>IF(H101="",0,IFERROR(H101*INDEX(FX_Rate,MATCH(IF(I101="","GBP",I101),FX_Code,0)),0))</f>
        <v/>
      </c>
      <c r="K101" s="33">
        <f>IF(ISNUMBER(G101),G101*J101,0)</f>
        <v/>
      </c>
      <c r="L101" s="34" t="n"/>
      <c r="M101" s="35" t="n"/>
      <c r="N101" s="36" t="n"/>
      <c r="O101" s="37" t="n"/>
      <c r="P101" s="37" t="n"/>
      <c r="Q101" s="38">
        <f>IF(OR(N101="",M101=""),"",INT(N101-IF(O101="",DefaultBuffer,O101)-M101*7-IF(P101="",DefaultApproval,P101)))</f>
        <v/>
      </c>
      <c r="R101" s="39">
        <f>IF(Q101="","",Q101-TODAY())</f>
        <v/>
      </c>
      <c r="S101" s="40">
        <f>IF(C101="","",IF(OR(T101="On hold",T101="Out of stock"),"Blocked",IF(ISNUMBER(MATCH(T101,OrderedStatuses,0)),"OK",IF(Q101="","Needs dates",IF(R101&lt;0,"Late",IF(R101&lt;=NudgeDays,"At risk","OK"))))))</f>
        <v/>
      </c>
      <c r="T101" s="29" t="n"/>
      <c r="U101" s="36" t="n"/>
      <c r="V101" s="29" t="n"/>
      <c r="W101" s="30" t="n"/>
    </row>
    <row r="102">
      <c r="A102" s="29" t="n"/>
      <c r="B102" s="29" t="n"/>
      <c r="C102" s="30" t="n"/>
      <c r="D102" s="30" t="n"/>
      <c r="E102" s="29" t="n"/>
      <c r="F102" s="29" t="n"/>
      <c r="G102" s="31" t="n"/>
      <c r="H102" s="32" t="n"/>
      <c r="I102" s="29" t="n"/>
      <c r="J102" s="33">
        <f>IF(H102="",0,IFERROR(H102*INDEX(FX_Rate,MATCH(IF(I102="","GBP",I102),FX_Code,0)),0))</f>
        <v/>
      </c>
      <c r="K102" s="33">
        <f>IF(ISNUMBER(G102),G102*J102,0)</f>
        <v/>
      </c>
      <c r="L102" s="34" t="n"/>
      <c r="M102" s="35" t="n"/>
      <c r="N102" s="36" t="n"/>
      <c r="O102" s="37" t="n"/>
      <c r="P102" s="37" t="n"/>
      <c r="Q102" s="38">
        <f>IF(OR(N102="",M102=""),"",INT(N102-IF(O102="",DefaultBuffer,O102)-M102*7-IF(P102="",DefaultApproval,P102)))</f>
        <v/>
      </c>
      <c r="R102" s="39">
        <f>IF(Q102="","",Q102-TODAY())</f>
        <v/>
      </c>
      <c r="S102" s="40">
        <f>IF(C102="","",IF(OR(T102="On hold",T102="Out of stock"),"Blocked",IF(ISNUMBER(MATCH(T102,OrderedStatuses,0)),"OK",IF(Q102="","Needs dates",IF(R102&lt;0,"Late",IF(R102&lt;=NudgeDays,"At risk","OK"))))))</f>
        <v/>
      </c>
      <c r="T102" s="29" t="n"/>
      <c r="U102" s="36" t="n"/>
      <c r="V102" s="29" t="n"/>
      <c r="W102" s="30" t="n"/>
    </row>
    <row r="103">
      <c r="A103" s="29" t="n"/>
      <c r="B103" s="29" t="n"/>
      <c r="C103" s="30" t="n"/>
      <c r="D103" s="30" t="n"/>
      <c r="E103" s="29" t="n"/>
      <c r="F103" s="29" t="n"/>
      <c r="G103" s="31" t="n"/>
      <c r="H103" s="32" t="n"/>
      <c r="I103" s="29" t="n"/>
      <c r="J103" s="33">
        <f>IF(H103="",0,IFERROR(H103*INDEX(FX_Rate,MATCH(IF(I103="","GBP",I103),FX_Code,0)),0))</f>
        <v/>
      </c>
      <c r="K103" s="33">
        <f>IF(ISNUMBER(G103),G103*J103,0)</f>
        <v/>
      </c>
      <c r="L103" s="34" t="n"/>
      <c r="M103" s="35" t="n"/>
      <c r="N103" s="36" t="n"/>
      <c r="O103" s="37" t="n"/>
      <c r="P103" s="37" t="n"/>
      <c r="Q103" s="38">
        <f>IF(OR(N103="",M103=""),"",INT(N103-IF(O103="",DefaultBuffer,O103)-M103*7-IF(P103="",DefaultApproval,P103)))</f>
        <v/>
      </c>
      <c r="R103" s="39">
        <f>IF(Q103="","",Q103-TODAY())</f>
        <v/>
      </c>
      <c r="S103" s="40">
        <f>IF(C103="","",IF(OR(T103="On hold",T103="Out of stock"),"Blocked",IF(ISNUMBER(MATCH(T103,OrderedStatuses,0)),"OK",IF(Q103="","Needs dates",IF(R103&lt;0,"Late",IF(R103&lt;=NudgeDays,"At risk","OK"))))))</f>
        <v/>
      </c>
      <c r="T103" s="29" t="n"/>
      <c r="U103" s="36" t="n"/>
      <c r="V103" s="29" t="n"/>
      <c r="W103" s="30" t="n"/>
    </row>
    <row r="104">
      <c r="A104" s="29" t="n"/>
      <c r="B104" s="29" t="n"/>
      <c r="C104" s="30" t="n"/>
      <c r="D104" s="30" t="n"/>
      <c r="E104" s="29" t="n"/>
      <c r="F104" s="29" t="n"/>
      <c r="G104" s="31" t="n"/>
      <c r="H104" s="32" t="n"/>
      <c r="I104" s="29" t="n"/>
      <c r="J104" s="33">
        <f>IF(H104="",0,IFERROR(H104*INDEX(FX_Rate,MATCH(IF(I104="","GBP",I104),FX_Code,0)),0))</f>
        <v/>
      </c>
      <c r="K104" s="33">
        <f>IF(ISNUMBER(G104),G104*J104,0)</f>
        <v/>
      </c>
      <c r="L104" s="34" t="n"/>
      <c r="M104" s="35" t="n"/>
      <c r="N104" s="36" t="n"/>
      <c r="O104" s="37" t="n"/>
      <c r="P104" s="37" t="n"/>
      <c r="Q104" s="38">
        <f>IF(OR(N104="",M104=""),"",INT(N104-IF(O104="",DefaultBuffer,O104)-M104*7-IF(P104="",DefaultApproval,P104)))</f>
        <v/>
      </c>
      <c r="R104" s="39">
        <f>IF(Q104="","",Q104-TODAY())</f>
        <v/>
      </c>
      <c r="S104" s="40">
        <f>IF(C104="","",IF(OR(T104="On hold",T104="Out of stock"),"Blocked",IF(ISNUMBER(MATCH(T104,OrderedStatuses,0)),"OK",IF(Q104="","Needs dates",IF(R104&lt;0,"Late",IF(R104&lt;=NudgeDays,"At risk","OK"))))))</f>
        <v/>
      </c>
      <c r="T104" s="29" t="n"/>
      <c r="U104" s="36" t="n"/>
      <c r="V104" s="29" t="n"/>
      <c r="W104" s="30" t="n"/>
    </row>
    <row r="105">
      <c r="A105" s="29" t="n"/>
      <c r="B105" s="29" t="n"/>
      <c r="C105" s="30" t="n"/>
      <c r="D105" s="30" t="n"/>
      <c r="E105" s="29" t="n"/>
      <c r="F105" s="29" t="n"/>
      <c r="G105" s="31" t="n"/>
      <c r="H105" s="32" t="n"/>
      <c r="I105" s="29" t="n"/>
      <c r="J105" s="33">
        <f>IF(H105="",0,IFERROR(H105*INDEX(FX_Rate,MATCH(IF(I105="","GBP",I105),FX_Code,0)),0))</f>
        <v/>
      </c>
      <c r="K105" s="33">
        <f>IF(ISNUMBER(G105),G105*J105,0)</f>
        <v/>
      </c>
      <c r="L105" s="34" t="n"/>
      <c r="M105" s="35" t="n"/>
      <c r="N105" s="36" t="n"/>
      <c r="O105" s="37" t="n"/>
      <c r="P105" s="37" t="n"/>
      <c r="Q105" s="38">
        <f>IF(OR(N105="",M105=""),"",INT(N105-IF(O105="",DefaultBuffer,O105)-M105*7-IF(P105="",DefaultApproval,P105)))</f>
        <v/>
      </c>
      <c r="R105" s="39">
        <f>IF(Q105="","",Q105-TODAY())</f>
        <v/>
      </c>
      <c r="S105" s="40">
        <f>IF(C105="","",IF(OR(T105="On hold",T105="Out of stock"),"Blocked",IF(ISNUMBER(MATCH(T105,OrderedStatuses,0)),"OK",IF(Q105="","Needs dates",IF(R105&lt;0,"Late",IF(R105&lt;=NudgeDays,"At risk","OK"))))))</f>
        <v/>
      </c>
      <c r="T105" s="29" t="n"/>
      <c r="U105" s="36" t="n"/>
      <c r="V105" s="29" t="n"/>
      <c r="W105" s="30" t="n"/>
    </row>
    <row r="106">
      <c r="A106" s="29" t="n"/>
      <c r="B106" s="29" t="n"/>
      <c r="C106" s="30" t="n"/>
      <c r="D106" s="30" t="n"/>
      <c r="E106" s="29" t="n"/>
      <c r="F106" s="29" t="n"/>
      <c r="G106" s="31" t="n"/>
      <c r="H106" s="32" t="n"/>
      <c r="I106" s="29" t="n"/>
      <c r="J106" s="33">
        <f>IF(H106="",0,IFERROR(H106*INDEX(FX_Rate,MATCH(IF(I106="","GBP",I106),FX_Code,0)),0))</f>
        <v/>
      </c>
      <c r="K106" s="33">
        <f>IF(ISNUMBER(G106),G106*J106,0)</f>
        <v/>
      </c>
      <c r="L106" s="34" t="n"/>
      <c r="M106" s="35" t="n"/>
      <c r="N106" s="36" t="n"/>
      <c r="O106" s="37" t="n"/>
      <c r="P106" s="37" t="n"/>
      <c r="Q106" s="38">
        <f>IF(OR(N106="",M106=""),"",INT(N106-IF(O106="",DefaultBuffer,O106)-M106*7-IF(P106="",DefaultApproval,P106)))</f>
        <v/>
      </c>
      <c r="R106" s="39">
        <f>IF(Q106="","",Q106-TODAY())</f>
        <v/>
      </c>
      <c r="S106" s="40">
        <f>IF(C106="","",IF(OR(T106="On hold",T106="Out of stock"),"Blocked",IF(ISNUMBER(MATCH(T106,OrderedStatuses,0)),"OK",IF(Q106="","Needs dates",IF(R106&lt;0,"Late",IF(R106&lt;=NudgeDays,"At risk","OK"))))))</f>
        <v/>
      </c>
      <c r="T106" s="29" t="n"/>
      <c r="U106" s="36" t="n"/>
      <c r="V106" s="29" t="n"/>
      <c r="W106" s="30" t="n"/>
    </row>
    <row r="107">
      <c r="A107" s="29" t="n"/>
      <c r="B107" s="29" t="n"/>
      <c r="C107" s="30" t="n"/>
      <c r="D107" s="30" t="n"/>
      <c r="E107" s="29" t="n"/>
      <c r="F107" s="29" t="n"/>
      <c r="G107" s="31" t="n"/>
      <c r="H107" s="32" t="n"/>
      <c r="I107" s="29" t="n"/>
      <c r="J107" s="33">
        <f>IF(H107="",0,IFERROR(H107*INDEX(FX_Rate,MATCH(IF(I107="","GBP",I107),FX_Code,0)),0))</f>
        <v/>
      </c>
      <c r="K107" s="33">
        <f>IF(ISNUMBER(G107),G107*J107,0)</f>
        <v/>
      </c>
      <c r="L107" s="34" t="n"/>
      <c r="M107" s="35" t="n"/>
      <c r="N107" s="36" t="n"/>
      <c r="O107" s="37" t="n"/>
      <c r="P107" s="37" t="n"/>
      <c r="Q107" s="38">
        <f>IF(OR(N107="",M107=""),"",INT(N107-IF(O107="",DefaultBuffer,O107)-M107*7-IF(P107="",DefaultApproval,P107)))</f>
        <v/>
      </c>
      <c r="R107" s="39">
        <f>IF(Q107="","",Q107-TODAY())</f>
        <v/>
      </c>
      <c r="S107" s="40">
        <f>IF(C107="","",IF(OR(T107="On hold",T107="Out of stock"),"Blocked",IF(ISNUMBER(MATCH(T107,OrderedStatuses,0)),"OK",IF(Q107="","Needs dates",IF(R107&lt;0,"Late",IF(R107&lt;=NudgeDays,"At risk","OK"))))))</f>
        <v/>
      </c>
      <c r="T107" s="29" t="n"/>
      <c r="U107" s="36" t="n"/>
      <c r="V107" s="29" t="n"/>
      <c r="W107" s="30" t="n"/>
    </row>
    <row r="108">
      <c r="A108" s="29" t="n"/>
      <c r="B108" s="29" t="n"/>
      <c r="C108" s="30" t="n"/>
      <c r="D108" s="30" t="n"/>
      <c r="E108" s="29" t="n"/>
      <c r="F108" s="29" t="n"/>
      <c r="G108" s="31" t="n"/>
      <c r="H108" s="32" t="n"/>
      <c r="I108" s="29" t="n"/>
      <c r="J108" s="33">
        <f>IF(H108="",0,IFERROR(H108*INDEX(FX_Rate,MATCH(IF(I108="","GBP",I108),FX_Code,0)),0))</f>
        <v/>
      </c>
      <c r="K108" s="33">
        <f>IF(ISNUMBER(G108),G108*J108,0)</f>
        <v/>
      </c>
      <c r="L108" s="34" t="n"/>
      <c r="M108" s="35" t="n"/>
      <c r="N108" s="36" t="n"/>
      <c r="O108" s="37" t="n"/>
      <c r="P108" s="37" t="n"/>
      <c r="Q108" s="38">
        <f>IF(OR(N108="",M108=""),"",INT(N108-IF(O108="",DefaultBuffer,O108)-M108*7-IF(P108="",DefaultApproval,P108)))</f>
        <v/>
      </c>
      <c r="R108" s="39">
        <f>IF(Q108="","",Q108-TODAY())</f>
        <v/>
      </c>
      <c r="S108" s="40">
        <f>IF(C108="","",IF(OR(T108="On hold",T108="Out of stock"),"Blocked",IF(ISNUMBER(MATCH(T108,OrderedStatuses,0)),"OK",IF(Q108="","Needs dates",IF(R108&lt;0,"Late",IF(R108&lt;=NudgeDays,"At risk","OK"))))))</f>
        <v/>
      </c>
      <c r="T108" s="29" t="n"/>
      <c r="U108" s="36" t="n"/>
      <c r="V108" s="29" t="n"/>
      <c r="W108" s="30" t="n"/>
    </row>
    <row r="109">
      <c r="A109" s="29" t="n"/>
      <c r="B109" s="29" t="n"/>
      <c r="C109" s="30" t="n"/>
      <c r="D109" s="30" t="n"/>
      <c r="E109" s="29" t="n"/>
      <c r="F109" s="29" t="n"/>
      <c r="G109" s="31" t="n"/>
      <c r="H109" s="32" t="n"/>
      <c r="I109" s="29" t="n"/>
      <c r="J109" s="33">
        <f>IF(H109="",0,IFERROR(H109*INDEX(FX_Rate,MATCH(IF(I109="","GBP",I109),FX_Code,0)),0))</f>
        <v/>
      </c>
      <c r="K109" s="33">
        <f>IF(ISNUMBER(G109),G109*J109,0)</f>
        <v/>
      </c>
      <c r="L109" s="34" t="n"/>
      <c r="M109" s="35" t="n"/>
      <c r="N109" s="36" t="n"/>
      <c r="O109" s="37" t="n"/>
      <c r="P109" s="37" t="n"/>
      <c r="Q109" s="38">
        <f>IF(OR(N109="",M109=""),"",INT(N109-IF(O109="",DefaultBuffer,O109)-M109*7-IF(P109="",DefaultApproval,P109)))</f>
        <v/>
      </c>
      <c r="R109" s="39">
        <f>IF(Q109="","",Q109-TODAY())</f>
        <v/>
      </c>
      <c r="S109" s="40">
        <f>IF(C109="","",IF(OR(T109="On hold",T109="Out of stock"),"Blocked",IF(ISNUMBER(MATCH(T109,OrderedStatuses,0)),"OK",IF(Q109="","Needs dates",IF(R109&lt;0,"Late",IF(R109&lt;=NudgeDays,"At risk","OK"))))))</f>
        <v/>
      </c>
      <c r="T109" s="29" t="n"/>
      <c r="U109" s="36" t="n"/>
      <c r="V109" s="29" t="n"/>
      <c r="W109" s="30" t="n"/>
    </row>
    <row r="110">
      <c r="A110" s="29" t="n"/>
      <c r="B110" s="29" t="n"/>
      <c r="C110" s="30" t="n"/>
      <c r="D110" s="30" t="n"/>
      <c r="E110" s="29" t="n"/>
      <c r="F110" s="29" t="n"/>
      <c r="G110" s="31" t="n"/>
      <c r="H110" s="32" t="n"/>
      <c r="I110" s="29" t="n"/>
      <c r="J110" s="33">
        <f>IF(H110="",0,IFERROR(H110*INDEX(FX_Rate,MATCH(IF(I110="","GBP",I110),FX_Code,0)),0))</f>
        <v/>
      </c>
      <c r="K110" s="33">
        <f>IF(ISNUMBER(G110),G110*J110,0)</f>
        <v/>
      </c>
      <c r="L110" s="34" t="n"/>
      <c r="M110" s="35" t="n"/>
      <c r="N110" s="36" t="n"/>
      <c r="O110" s="37" t="n"/>
      <c r="P110" s="37" t="n"/>
      <c r="Q110" s="38">
        <f>IF(OR(N110="",M110=""),"",INT(N110-IF(O110="",DefaultBuffer,O110)-M110*7-IF(P110="",DefaultApproval,P110)))</f>
        <v/>
      </c>
      <c r="R110" s="39">
        <f>IF(Q110="","",Q110-TODAY())</f>
        <v/>
      </c>
      <c r="S110" s="40">
        <f>IF(C110="","",IF(OR(T110="On hold",T110="Out of stock"),"Blocked",IF(ISNUMBER(MATCH(T110,OrderedStatuses,0)),"OK",IF(Q110="","Needs dates",IF(R110&lt;0,"Late",IF(R110&lt;=NudgeDays,"At risk","OK"))))))</f>
        <v/>
      </c>
      <c r="T110" s="29" t="n"/>
      <c r="U110" s="36" t="n"/>
      <c r="V110" s="29" t="n"/>
      <c r="W110" s="30" t="n"/>
    </row>
    <row r="111">
      <c r="A111" s="29" t="n"/>
      <c r="B111" s="29" t="n"/>
      <c r="C111" s="30" t="n"/>
      <c r="D111" s="30" t="n"/>
      <c r="E111" s="29" t="n"/>
      <c r="F111" s="29" t="n"/>
      <c r="G111" s="31" t="n"/>
      <c r="H111" s="32" t="n"/>
      <c r="I111" s="29" t="n"/>
      <c r="J111" s="33">
        <f>IF(H111="",0,IFERROR(H111*INDEX(FX_Rate,MATCH(IF(I111="","GBP",I111),FX_Code,0)),0))</f>
        <v/>
      </c>
      <c r="K111" s="33">
        <f>IF(ISNUMBER(G111),G111*J111,0)</f>
        <v/>
      </c>
      <c r="L111" s="34" t="n"/>
      <c r="M111" s="35" t="n"/>
      <c r="N111" s="36" t="n"/>
      <c r="O111" s="37" t="n"/>
      <c r="P111" s="37" t="n"/>
      <c r="Q111" s="38">
        <f>IF(OR(N111="",M111=""),"",INT(N111-IF(O111="",DefaultBuffer,O111)-M111*7-IF(P111="",DefaultApproval,P111)))</f>
        <v/>
      </c>
      <c r="R111" s="39">
        <f>IF(Q111="","",Q111-TODAY())</f>
        <v/>
      </c>
      <c r="S111" s="40">
        <f>IF(C111="","",IF(OR(T111="On hold",T111="Out of stock"),"Blocked",IF(ISNUMBER(MATCH(T111,OrderedStatuses,0)),"OK",IF(Q111="","Needs dates",IF(R111&lt;0,"Late",IF(R111&lt;=NudgeDays,"At risk","OK"))))))</f>
        <v/>
      </c>
      <c r="T111" s="29" t="n"/>
      <c r="U111" s="36" t="n"/>
      <c r="V111" s="29" t="n"/>
      <c r="W111" s="30" t="n"/>
    </row>
    <row r="112">
      <c r="A112" s="29" t="n"/>
      <c r="B112" s="29" t="n"/>
      <c r="C112" s="30" t="n"/>
      <c r="D112" s="30" t="n"/>
      <c r="E112" s="29" t="n"/>
      <c r="F112" s="29" t="n"/>
      <c r="G112" s="31" t="n"/>
      <c r="H112" s="32" t="n"/>
      <c r="I112" s="29" t="n"/>
      <c r="J112" s="33">
        <f>IF(H112="",0,IFERROR(H112*INDEX(FX_Rate,MATCH(IF(I112="","GBP",I112),FX_Code,0)),0))</f>
        <v/>
      </c>
      <c r="K112" s="33">
        <f>IF(ISNUMBER(G112),G112*J112,0)</f>
        <v/>
      </c>
      <c r="L112" s="34" t="n"/>
      <c r="M112" s="35" t="n"/>
      <c r="N112" s="36" t="n"/>
      <c r="O112" s="37" t="n"/>
      <c r="P112" s="37" t="n"/>
      <c r="Q112" s="38">
        <f>IF(OR(N112="",M112=""),"",INT(N112-IF(O112="",DefaultBuffer,O112)-M112*7-IF(P112="",DefaultApproval,P112)))</f>
        <v/>
      </c>
      <c r="R112" s="39">
        <f>IF(Q112="","",Q112-TODAY())</f>
        <v/>
      </c>
      <c r="S112" s="40">
        <f>IF(C112="","",IF(OR(T112="On hold",T112="Out of stock"),"Blocked",IF(ISNUMBER(MATCH(T112,OrderedStatuses,0)),"OK",IF(Q112="","Needs dates",IF(R112&lt;0,"Late",IF(R112&lt;=NudgeDays,"At risk","OK"))))))</f>
        <v/>
      </c>
      <c r="T112" s="29" t="n"/>
      <c r="U112" s="36" t="n"/>
      <c r="V112" s="29" t="n"/>
      <c r="W112" s="30" t="n"/>
    </row>
    <row r="113">
      <c r="A113" s="29" t="n"/>
      <c r="B113" s="29" t="n"/>
      <c r="C113" s="30" t="n"/>
      <c r="D113" s="30" t="n"/>
      <c r="E113" s="29" t="n"/>
      <c r="F113" s="29" t="n"/>
      <c r="G113" s="31" t="n"/>
      <c r="H113" s="32" t="n"/>
      <c r="I113" s="29" t="n"/>
      <c r="J113" s="33">
        <f>IF(H113="",0,IFERROR(H113*INDEX(FX_Rate,MATCH(IF(I113="","GBP",I113),FX_Code,0)),0))</f>
        <v/>
      </c>
      <c r="K113" s="33">
        <f>IF(ISNUMBER(G113),G113*J113,0)</f>
        <v/>
      </c>
      <c r="L113" s="34" t="n"/>
      <c r="M113" s="35" t="n"/>
      <c r="N113" s="36" t="n"/>
      <c r="O113" s="37" t="n"/>
      <c r="P113" s="37" t="n"/>
      <c r="Q113" s="38">
        <f>IF(OR(N113="",M113=""),"",INT(N113-IF(O113="",DefaultBuffer,O113)-M113*7-IF(P113="",DefaultApproval,P113)))</f>
        <v/>
      </c>
      <c r="R113" s="39">
        <f>IF(Q113="","",Q113-TODAY())</f>
        <v/>
      </c>
      <c r="S113" s="40">
        <f>IF(C113="","",IF(OR(T113="On hold",T113="Out of stock"),"Blocked",IF(ISNUMBER(MATCH(T113,OrderedStatuses,0)),"OK",IF(Q113="","Needs dates",IF(R113&lt;0,"Late",IF(R113&lt;=NudgeDays,"At risk","OK"))))))</f>
        <v/>
      </c>
      <c r="T113" s="29" t="n"/>
      <c r="U113" s="36" t="n"/>
      <c r="V113" s="29" t="n"/>
      <c r="W113" s="30" t="n"/>
    </row>
    <row r="114">
      <c r="A114" s="29" t="n"/>
      <c r="B114" s="29" t="n"/>
      <c r="C114" s="30" t="n"/>
      <c r="D114" s="30" t="n"/>
      <c r="E114" s="29" t="n"/>
      <c r="F114" s="29" t="n"/>
      <c r="G114" s="31" t="n"/>
      <c r="H114" s="32" t="n"/>
      <c r="I114" s="29" t="n"/>
      <c r="J114" s="33">
        <f>IF(H114="",0,IFERROR(H114*INDEX(FX_Rate,MATCH(IF(I114="","GBP",I114),FX_Code,0)),0))</f>
        <v/>
      </c>
      <c r="K114" s="33">
        <f>IF(ISNUMBER(G114),G114*J114,0)</f>
        <v/>
      </c>
      <c r="L114" s="34" t="n"/>
      <c r="M114" s="35" t="n"/>
      <c r="N114" s="36" t="n"/>
      <c r="O114" s="37" t="n"/>
      <c r="P114" s="37" t="n"/>
      <c r="Q114" s="38">
        <f>IF(OR(N114="",M114=""),"",INT(N114-IF(O114="",DefaultBuffer,O114)-M114*7-IF(P114="",DefaultApproval,P114)))</f>
        <v/>
      </c>
      <c r="R114" s="39">
        <f>IF(Q114="","",Q114-TODAY())</f>
        <v/>
      </c>
      <c r="S114" s="40">
        <f>IF(C114="","",IF(OR(T114="On hold",T114="Out of stock"),"Blocked",IF(ISNUMBER(MATCH(T114,OrderedStatuses,0)),"OK",IF(Q114="","Needs dates",IF(R114&lt;0,"Late",IF(R114&lt;=NudgeDays,"At risk","OK"))))))</f>
        <v/>
      </c>
      <c r="T114" s="29" t="n"/>
      <c r="U114" s="36" t="n"/>
      <c r="V114" s="29" t="n"/>
      <c r="W114" s="30" t="n"/>
    </row>
    <row r="115">
      <c r="A115" s="29" t="n"/>
      <c r="B115" s="29" t="n"/>
      <c r="C115" s="30" t="n"/>
      <c r="D115" s="30" t="n"/>
      <c r="E115" s="29" t="n"/>
      <c r="F115" s="29" t="n"/>
      <c r="G115" s="31" t="n"/>
      <c r="H115" s="32" t="n"/>
      <c r="I115" s="29" t="n"/>
      <c r="J115" s="33">
        <f>IF(H115="",0,IFERROR(H115*INDEX(FX_Rate,MATCH(IF(I115="","GBP",I115),FX_Code,0)),0))</f>
        <v/>
      </c>
      <c r="K115" s="33">
        <f>IF(ISNUMBER(G115),G115*J115,0)</f>
        <v/>
      </c>
      <c r="L115" s="34" t="n"/>
      <c r="M115" s="35" t="n"/>
      <c r="N115" s="36" t="n"/>
      <c r="O115" s="37" t="n"/>
      <c r="P115" s="37" t="n"/>
      <c r="Q115" s="38">
        <f>IF(OR(N115="",M115=""),"",INT(N115-IF(O115="",DefaultBuffer,O115)-M115*7-IF(P115="",DefaultApproval,P115)))</f>
        <v/>
      </c>
      <c r="R115" s="39">
        <f>IF(Q115="","",Q115-TODAY())</f>
        <v/>
      </c>
      <c r="S115" s="40">
        <f>IF(C115="","",IF(OR(T115="On hold",T115="Out of stock"),"Blocked",IF(ISNUMBER(MATCH(T115,OrderedStatuses,0)),"OK",IF(Q115="","Needs dates",IF(R115&lt;0,"Late",IF(R115&lt;=NudgeDays,"At risk","OK"))))))</f>
        <v/>
      </c>
      <c r="T115" s="29" t="n"/>
      <c r="U115" s="36" t="n"/>
      <c r="V115" s="29" t="n"/>
      <c r="W115" s="30" t="n"/>
    </row>
    <row r="116">
      <c r="A116" s="29" t="n"/>
      <c r="B116" s="29" t="n"/>
      <c r="C116" s="30" t="n"/>
      <c r="D116" s="30" t="n"/>
      <c r="E116" s="29" t="n"/>
      <c r="F116" s="29" t="n"/>
      <c r="G116" s="31" t="n"/>
      <c r="H116" s="32" t="n"/>
      <c r="I116" s="29" t="n"/>
      <c r="J116" s="33">
        <f>IF(H116="",0,IFERROR(H116*INDEX(FX_Rate,MATCH(IF(I116="","GBP",I116),FX_Code,0)),0))</f>
        <v/>
      </c>
      <c r="K116" s="33">
        <f>IF(ISNUMBER(G116),G116*J116,0)</f>
        <v/>
      </c>
      <c r="L116" s="34" t="n"/>
      <c r="M116" s="35" t="n"/>
      <c r="N116" s="36" t="n"/>
      <c r="O116" s="37" t="n"/>
      <c r="P116" s="37" t="n"/>
      <c r="Q116" s="38">
        <f>IF(OR(N116="",M116=""),"",INT(N116-IF(O116="",DefaultBuffer,O116)-M116*7-IF(P116="",DefaultApproval,P116)))</f>
        <v/>
      </c>
      <c r="R116" s="39">
        <f>IF(Q116="","",Q116-TODAY())</f>
        <v/>
      </c>
      <c r="S116" s="40">
        <f>IF(C116="","",IF(OR(T116="On hold",T116="Out of stock"),"Blocked",IF(ISNUMBER(MATCH(T116,OrderedStatuses,0)),"OK",IF(Q116="","Needs dates",IF(R116&lt;0,"Late",IF(R116&lt;=NudgeDays,"At risk","OK"))))))</f>
        <v/>
      </c>
      <c r="T116" s="29" t="n"/>
      <c r="U116" s="36" t="n"/>
      <c r="V116" s="29" t="n"/>
      <c r="W116" s="30" t="n"/>
    </row>
    <row r="117">
      <c r="A117" s="29" t="n"/>
      <c r="B117" s="29" t="n"/>
      <c r="C117" s="30" t="n"/>
      <c r="D117" s="30" t="n"/>
      <c r="E117" s="29" t="n"/>
      <c r="F117" s="29" t="n"/>
      <c r="G117" s="31" t="n"/>
      <c r="H117" s="32" t="n"/>
      <c r="I117" s="29" t="n"/>
      <c r="J117" s="33">
        <f>IF(H117="",0,IFERROR(H117*INDEX(FX_Rate,MATCH(IF(I117="","GBP",I117),FX_Code,0)),0))</f>
        <v/>
      </c>
      <c r="K117" s="33">
        <f>IF(ISNUMBER(G117),G117*J117,0)</f>
        <v/>
      </c>
      <c r="L117" s="34" t="n"/>
      <c r="M117" s="35" t="n"/>
      <c r="N117" s="36" t="n"/>
      <c r="O117" s="37" t="n"/>
      <c r="P117" s="37" t="n"/>
      <c r="Q117" s="38">
        <f>IF(OR(N117="",M117=""),"",INT(N117-IF(O117="",DefaultBuffer,O117)-M117*7-IF(P117="",DefaultApproval,P117)))</f>
        <v/>
      </c>
      <c r="R117" s="39">
        <f>IF(Q117="","",Q117-TODAY())</f>
        <v/>
      </c>
      <c r="S117" s="40">
        <f>IF(C117="","",IF(OR(T117="On hold",T117="Out of stock"),"Blocked",IF(ISNUMBER(MATCH(T117,OrderedStatuses,0)),"OK",IF(Q117="","Needs dates",IF(R117&lt;0,"Late",IF(R117&lt;=NudgeDays,"At risk","OK"))))))</f>
        <v/>
      </c>
      <c r="T117" s="29" t="n"/>
      <c r="U117" s="36" t="n"/>
      <c r="V117" s="29" t="n"/>
      <c r="W117" s="30" t="n"/>
    </row>
    <row r="118">
      <c r="A118" s="29" t="n"/>
      <c r="B118" s="29" t="n"/>
      <c r="C118" s="30" t="n"/>
      <c r="D118" s="30" t="n"/>
      <c r="E118" s="29" t="n"/>
      <c r="F118" s="29" t="n"/>
      <c r="G118" s="31" t="n"/>
      <c r="H118" s="32" t="n"/>
      <c r="I118" s="29" t="n"/>
      <c r="J118" s="33">
        <f>IF(H118="",0,IFERROR(H118*INDEX(FX_Rate,MATCH(IF(I118="","GBP",I118),FX_Code,0)),0))</f>
        <v/>
      </c>
      <c r="K118" s="33">
        <f>IF(ISNUMBER(G118),G118*J118,0)</f>
        <v/>
      </c>
      <c r="L118" s="34" t="n"/>
      <c r="M118" s="35" t="n"/>
      <c r="N118" s="36" t="n"/>
      <c r="O118" s="37" t="n"/>
      <c r="P118" s="37" t="n"/>
      <c r="Q118" s="38">
        <f>IF(OR(N118="",M118=""),"",INT(N118-IF(O118="",DefaultBuffer,O118)-M118*7-IF(P118="",DefaultApproval,P118)))</f>
        <v/>
      </c>
      <c r="R118" s="39">
        <f>IF(Q118="","",Q118-TODAY())</f>
        <v/>
      </c>
      <c r="S118" s="40">
        <f>IF(C118="","",IF(OR(T118="On hold",T118="Out of stock"),"Blocked",IF(ISNUMBER(MATCH(T118,OrderedStatuses,0)),"OK",IF(Q118="","Needs dates",IF(R118&lt;0,"Late",IF(R118&lt;=NudgeDays,"At risk","OK"))))))</f>
        <v/>
      </c>
      <c r="T118" s="29" t="n"/>
      <c r="U118" s="36" t="n"/>
      <c r="V118" s="29" t="n"/>
      <c r="W118" s="30" t="n"/>
    </row>
    <row r="119">
      <c r="A119" s="29" t="n"/>
      <c r="B119" s="29" t="n"/>
      <c r="C119" s="30" t="n"/>
      <c r="D119" s="30" t="n"/>
      <c r="E119" s="29" t="n"/>
      <c r="F119" s="29" t="n"/>
      <c r="G119" s="31" t="n"/>
      <c r="H119" s="32" t="n"/>
      <c r="I119" s="29" t="n"/>
      <c r="J119" s="33">
        <f>IF(H119="",0,IFERROR(H119*INDEX(FX_Rate,MATCH(IF(I119="","GBP",I119),FX_Code,0)),0))</f>
        <v/>
      </c>
      <c r="K119" s="33">
        <f>IF(ISNUMBER(G119),G119*J119,0)</f>
        <v/>
      </c>
      <c r="L119" s="34" t="n"/>
      <c r="M119" s="35" t="n"/>
      <c r="N119" s="36" t="n"/>
      <c r="O119" s="37" t="n"/>
      <c r="P119" s="37" t="n"/>
      <c r="Q119" s="38">
        <f>IF(OR(N119="",M119=""),"",INT(N119-IF(O119="",DefaultBuffer,O119)-M119*7-IF(P119="",DefaultApproval,P119)))</f>
        <v/>
      </c>
      <c r="R119" s="39">
        <f>IF(Q119="","",Q119-TODAY())</f>
        <v/>
      </c>
      <c r="S119" s="40">
        <f>IF(C119="","",IF(OR(T119="On hold",T119="Out of stock"),"Blocked",IF(ISNUMBER(MATCH(T119,OrderedStatuses,0)),"OK",IF(Q119="","Needs dates",IF(R119&lt;0,"Late",IF(R119&lt;=NudgeDays,"At risk","OK"))))))</f>
        <v/>
      </c>
      <c r="T119" s="29" t="n"/>
      <c r="U119" s="36" t="n"/>
      <c r="V119" s="29" t="n"/>
      <c r="W119" s="30" t="n"/>
    </row>
    <row r="120">
      <c r="A120" s="29" t="n"/>
      <c r="B120" s="29" t="n"/>
      <c r="C120" s="30" t="n"/>
      <c r="D120" s="30" t="n"/>
      <c r="E120" s="29" t="n"/>
      <c r="F120" s="29" t="n"/>
      <c r="G120" s="31" t="n"/>
      <c r="H120" s="32" t="n"/>
      <c r="I120" s="29" t="n"/>
      <c r="J120" s="33">
        <f>IF(H120="",0,IFERROR(H120*INDEX(FX_Rate,MATCH(IF(I120="","GBP",I120),FX_Code,0)),0))</f>
        <v/>
      </c>
      <c r="K120" s="33">
        <f>IF(ISNUMBER(G120),G120*J120,0)</f>
        <v/>
      </c>
      <c r="L120" s="34" t="n"/>
      <c r="M120" s="35" t="n"/>
      <c r="N120" s="36" t="n"/>
      <c r="O120" s="37" t="n"/>
      <c r="P120" s="37" t="n"/>
      <c r="Q120" s="38">
        <f>IF(OR(N120="",M120=""),"",INT(N120-IF(O120="",DefaultBuffer,O120)-M120*7-IF(P120="",DefaultApproval,P120)))</f>
        <v/>
      </c>
      <c r="R120" s="39">
        <f>IF(Q120="","",Q120-TODAY())</f>
        <v/>
      </c>
      <c r="S120" s="40">
        <f>IF(C120="","",IF(OR(T120="On hold",T120="Out of stock"),"Blocked",IF(ISNUMBER(MATCH(T120,OrderedStatuses,0)),"OK",IF(Q120="","Needs dates",IF(R120&lt;0,"Late",IF(R120&lt;=NudgeDays,"At risk","OK"))))))</f>
        <v/>
      </c>
      <c r="T120" s="29" t="n"/>
      <c r="U120" s="36" t="n"/>
      <c r="V120" s="29" t="n"/>
      <c r="W120" s="30" t="n"/>
    </row>
    <row r="121">
      <c r="A121" s="29" t="n"/>
      <c r="B121" s="29" t="n"/>
      <c r="C121" s="30" t="n"/>
      <c r="D121" s="30" t="n"/>
      <c r="E121" s="29" t="n"/>
      <c r="F121" s="29" t="n"/>
      <c r="G121" s="31" t="n"/>
      <c r="H121" s="32" t="n"/>
      <c r="I121" s="29" t="n"/>
      <c r="J121" s="33">
        <f>IF(H121="",0,IFERROR(H121*INDEX(FX_Rate,MATCH(IF(I121="","GBP",I121),FX_Code,0)),0))</f>
        <v/>
      </c>
      <c r="K121" s="33">
        <f>IF(ISNUMBER(G121),G121*J121,0)</f>
        <v/>
      </c>
      <c r="L121" s="34" t="n"/>
      <c r="M121" s="35" t="n"/>
      <c r="N121" s="36" t="n"/>
      <c r="O121" s="37" t="n"/>
      <c r="P121" s="37" t="n"/>
      <c r="Q121" s="38">
        <f>IF(OR(N121="",M121=""),"",INT(N121-IF(O121="",DefaultBuffer,O121)-M121*7-IF(P121="",DefaultApproval,P121)))</f>
        <v/>
      </c>
      <c r="R121" s="39">
        <f>IF(Q121="","",Q121-TODAY())</f>
        <v/>
      </c>
      <c r="S121" s="40">
        <f>IF(C121="","",IF(OR(T121="On hold",T121="Out of stock"),"Blocked",IF(ISNUMBER(MATCH(T121,OrderedStatuses,0)),"OK",IF(Q121="","Needs dates",IF(R121&lt;0,"Late",IF(R121&lt;=NudgeDays,"At risk","OK"))))))</f>
        <v/>
      </c>
      <c r="T121" s="29" t="n"/>
      <c r="U121" s="36" t="n"/>
      <c r="V121" s="29" t="n"/>
      <c r="W121" s="30" t="n"/>
    </row>
    <row r="122">
      <c r="A122" s="29" t="n"/>
      <c r="B122" s="29" t="n"/>
      <c r="C122" s="30" t="n"/>
      <c r="D122" s="30" t="n"/>
      <c r="E122" s="29" t="n"/>
      <c r="F122" s="29" t="n"/>
      <c r="G122" s="31" t="n"/>
      <c r="H122" s="32" t="n"/>
      <c r="I122" s="29" t="n"/>
      <c r="J122" s="33">
        <f>IF(H122="",0,IFERROR(H122*INDEX(FX_Rate,MATCH(IF(I122="","GBP",I122),FX_Code,0)),0))</f>
        <v/>
      </c>
      <c r="K122" s="33">
        <f>IF(ISNUMBER(G122),G122*J122,0)</f>
        <v/>
      </c>
      <c r="L122" s="34" t="n"/>
      <c r="M122" s="35" t="n"/>
      <c r="N122" s="36" t="n"/>
      <c r="O122" s="37" t="n"/>
      <c r="P122" s="37" t="n"/>
      <c r="Q122" s="38">
        <f>IF(OR(N122="",M122=""),"",INT(N122-IF(O122="",DefaultBuffer,O122)-M122*7-IF(P122="",DefaultApproval,P122)))</f>
        <v/>
      </c>
      <c r="R122" s="39">
        <f>IF(Q122="","",Q122-TODAY())</f>
        <v/>
      </c>
      <c r="S122" s="40">
        <f>IF(C122="","",IF(OR(T122="On hold",T122="Out of stock"),"Blocked",IF(ISNUMBER(MATCH(T122,OrderedStatuses,0)),"OK",IF(Q122="","Needs dates",IF(R122&lt;0,"Late",IF(R122&lt;=NudgeDays,"At risk","OK"))))))</f>
        <v/>
      </c>
      <c r="T122" s="29" t="n"/>
      <c r="U122" s="36" t="n"/>
      <c r="V122" s="29" t="n"/>
      <c r="W122" s="30" t="n"/>
    </row>
    <row r="123">
      <c r="A123" s="29" t="n"/>
      <c r="B123" s="29" t="n"/>
      <c r="C123" s="30" t="n"/>
      <c r="D123" s="30" t="n"/>
      <c r="E123" s="29" t="n"/>
      <c r="F123" s="29" t="n"/>
      <c r="G123" s="31" t="n"/>
      <c r="H123" s="32" t="n"/>
      <c r="I123" s="29" t="n"/>
      <c r="J123" s="33">
        <f>IF(H123="",0,IFERROR(H123*INDEX(FX_Rate,MATCH(IF(I123="","GBP",I123),FX_Code,0)),0))</f>
        <v/>
      </c>
      <c r="K123" s="33">
        <f>IF(ISNUMBER(G123),G123*J123,0)</f>
        <v/>
      </c>
      <c r="L123" s="34" t="n"/>
      <c r="M123" s="35" t="n"/>
      <c r="N123" s="36" t="n"/>
      <c r="O123" s="37" t="n"/>
      <c r="P123" s="37" t="n"/>
      <c r="Q123" s="38">
        <f>IF(OR(N123="",M123=""),"",INT(N123-IF(O123="",DefaultBuffer,O123)-M123*7-IF(P123="",DefaultApproval,P123)))</f>
        <v/>
      </c>
      <c r="R123" s="39">
        <f>IF(Q123="","",Q123-TODAY())</f>
        <v/>
      </c>
      <c r="S123" s="40">
        <f>IF(C123="","",IF(OR(T123="On hold",T123="Out of stock"),"Blocked",IF(ISNUMBER(MATCH(T123,OrderedStatuses,0)),"OK",IF(Q123="","Needs dates",IF(R123&lt;0,"Late",IF(R123&lt;=NudgeDays,"At risk","OK"))))))</f>
        <v/>
      </c>
      <c r="T123" s="29" t="n"/>
      <c r="U123" s="36" t="n"/>
      <c r="V123" s="29" t="n"/>
      <c r="W123" s="30" t="n"/>
    </row>
    <row r="124">
      <c r="A124" s="29" t="n"/>
      <c r="B124" s="29" t="n"/>
      <c r="C124" s="30" t="n"/>
      <c r="D124" s="30" t="n"/>
      <c r="E124" s="29" t="n"/>
      <c r="F124" s="29" t="n"/>
      <c r="G124" s="31" t="n"/>
      <c r="H124" s="32" t="n"/>
      <c r="I124" s="29" t="n"/>
      <c r="J124" s="33">
        <f>IF(H124="",0,IFERROR(H124*INDEX(FX_Rate,MATCH(IF(I124="","GBP",I124),FX_Code,0)),0))</f>
        <v/>
      </c>
      <c r="K124" s="33">
        <f>IF(ISNUMBER(G124),G124*J124,0)</f>
        <v/>
      </c>
      <c r="L124" s="34" t="n"/>
      <c r="M124" s="35" t="n"/>
      <c r="N124" s="36" t="n"/>
      <c r="O124" s="37" t="n"/>
      <c r="P124" s="37" t="n"/>
      <c r="Q124" s="38">
        <f>IF(OR(N124="",M124=""),"",INT(N124-IF(O124="",DefaultBuffer,O124)-M124*7-IF(P124="",DefaultApproval,P124)))</f>
        <v/>
      </c>
      <c r="R124" s="39">
        <f>IF(Q124="","",Q124-TODAY())</f>
        <v/>
      </c>
      <c r="S124" s="40">
        <f>IF(C124="","",IF(OR(T124="On hold",T124="Out of stock"),"Blocked",IF(ISNUMBER(MATCH(T124,OrderedStatuses,0)),"OK",IF(Q124="","Needs dates",IF(R124&lt;0,"Late",IF(R124&lt;=NudgeDays,"At risk","OK"))))))</f>
        <v/>
      </c>
      <c r="T124" s="29" t="n"/>
      <c r="U124" s="36" t="n"/>
      <c r="V124" s="29" t="n"/>
      <c r="W124" s="30" t="n"/>
    </row>
    <row r="125">
      <c r="A125" s="29" t="n"/>
      <c r="B125" s="29" t="n"/>
      <c r="C125" s="30" t="n"/>
      <c r="D125" s="30" t="n"/>
      <c r="E125" s="29" t="n"/>
      <c r="F125" s="29" t="n"/>
      <c r="G125" s="31" t="n"/>
      <c r="H125" s="32" t="n"/>
      <c r="I125" s="29" t="n"/>
      <c r="J125" s="33">
        <f>IF(H125="",0,IFERROR(H125*INDEX(FX_Rate,MATCH(IF(I125="","GBP",I125),FX_Code,0)),0))</f>
        <v/>
      </c>
      <c r="K125" s="33">
        <f>IF(ISNUMBER(G125),G125*J125,0)</f>
        <v/>
      </c>
      <c r="L125" s="34" t="n"/>
      <c r="M125" s="35" t="n"/>
      <c r="N125" s="36" t="n"/>
      <c r="O125" s="37" t="n"/>
      <c r="P125" s="37" t="n"/>
      <c r="Q125" s="38">
        <f>IF(OR(N125="",M125=""),"",INT(N125-IF(O125="",DefaultBuffer,O125)-M125*7-IF(P125="",DefaultApproval,P125)))</f>
        <v/>
      </c>
      <c r="R125" s="39">
        <f>IF(Q125="","",Q125-TODAY())</f>
        <v/>
      </c>
      <c r="S125" s="40">
        <f>IF(C125="","",IF(OR(T125="On hold",T125="Out of stock"),"Blocked",IF(ISNUMBER(MATCH(T125,OrderedStatuses,0)),"OK",IF(Q125="","Needs dates",IF(R125&lt;0,"Late",IF(R125&lt;=NudgeDays,"At risk","OK"))))))</f>
        <v/>
      </c>
      <c r="T125" s="29" t="n"/>
      <c r="U125" s="36" t="n"/>
      <c r="V125" s="29" t="n"/>
      <c r="W125" s="30" t="n"/>
    </row>
    <row r="126">
      <c r="A126" s="29" t="n"/>
      <c r="B126" s="29" t="n"/>
      <c r="C126" s="30" t="n"/>
      <c r="D126" s="30" t="n"/>
      <c r="E126" s="29" t="n"/>
      <c r="F126" s="29" t="n"/>
      <c r="G126" s="31" t="n"/>
      <c r="H126" s="32" t="n"/>
      <c r="I126" s="29" t="n"/>
      <c r="J126" s="33">
        <f>IF(H126="",0,IFERROR(H126*INDEX(FX_Rate,MATCH(IF(I126="","GBP",I126),FX_Code,0)),0))</f>
        <v/>
      </c>
      <c r="K126" s="33">
        <f>IF(ISNUMBER(G126),G126*J126,0)</f>
        <v/>
      </c>
      <c r="L126" s="34" t="n"/>
      <c r="M126" s="35" t="n"/>
      <c r="N126" s="36" t="n"/>
      <c r="O126" s="37" t="n"/>
      <c r="P126" s="37" t="n"/>
      <c r="Q126" s="38">
        <f>IF(OR(N126="",M126=""),"",INT(N126-IF(O126="",DefaultBuffer,O126)-M126*7-IF(P126="",DefaultApproval,P126)))</f>
        <v/>
      </c>
      <c r="R126" s="39">
        <f>IF(Q126="","",Q126-TODAY())</f>
        <v/>
      </c>
      <c r="S126" s="40">
        <f>IF(C126="","",IF(OR(T126="On hold",T126="Out of stock"),"Blocked",IF(ISNUMBER(MATCH(T126,OrderedStatuses,0)),"OK",IF(Q126="","Needs dates",IF(R126&lt;0,"Late",IF(R126&lt;=NudgeDays,"At risk","OK"))))))</f>
        <v/>
      </c>
      <c r="T126" s="29" t="n"/>
      <c r="U126" s="36" t="n"/>
      <c r="V126" s="29" t="n"/>
      <c r="W126" s="30" t="n"/>
    </row>
    <row r="127">
      <c r="A127" s="29" t="n"/>
      <c r="B127" s="29" t="n"/>
      <c r="C127" s="30" t="n"/>
      <c r="D127" s="30" t="n"/>
      <c r="E127" s="29" t="n"/>
      <c r="F127" s="29" t="n"/>
      <c r="G127" s="31" t="n"/>
      <c r="H127" s="32" t="n"/>
      <c r="I127" s="29" t="n"/>
      <c r="J127" s="33">
        <f>IF(H127="",0,IFERROR(H127*INDEX(FX_Rate,MATCH(IF(I127="","GBP",I127),FX_Code,0)),0))</f>
        <v/>
      </c>
      <c r="K127" s="33">
        <f>IF(ISNUMBER(G127),G127*J127,0)</f>
        <v/>
      </c>
      <c r="L127" s="34" t="n"/>
      <c r="M127" s="35" t="n"/>
      <c r="N127" s="36" t="n"/>
      <c r="O127" s="37" t="n"/>
      <c r="P127" s="37" t="n"/>
      <c r="Q127" s="38">
        <f>IF(OR(N127="",M127=""),"",INT(N127-IF(O127="",DefaultBuffer,O127)-M127*7-IF(P127="",DefaultApproval,P127)))</f>
        <v/>
      </c>
      <c r="R127" s="39">
        <f>IF(Q127="","",Q127-TODAY())</f>
        <v/>
      </c>
      <c r="S127" s="40">
        <f>IF(C127="","",IF(OR(T127="On hold",T127="Out of stock"),"Blocked",IF(ISNUMBER(MATCH(T127,OrderedStatuses,0)),"OK",IF(Q127="","Needs dates",IF(R127&lt;0,"Late",IF(R127&lt;=NudgeDays,"At risk","OK"))))))</f>
        <v/>
      </c>
      <c r="T127" s="29" t="n"/>
      <c r="U127" s="36" t="n"/>
      <c r="V127" s="29" t="n"/>
      <c r="W127" s="30" t="n"/>
    </row>
    <row r="128">
      <c r="A128" s="29" t="n"/>
      <c r="B128" s="29" t="n"/>
      <c r="C128" s="30" t="n"/>
      <c r="D128" s="30" t="n"/>
      <c r="E128" s="29" t="n"/>
      <c r="F128" s="29" t="n"/>
      <c r="G128" s="31" t="n"/>
      <c r="H128" s="32" t="n"/>
      <c r="I128" s="29" t="n"/>
      <c r="J128" s="33">
        <f>IF(H128="",0,IFERROR(H128*INDEX(FX_Rate,MATCH(IF(I128="","GBP",I128),FX_Code,0)),0))</f>
        <v/>
      </c>
      <c r="K128" s="33">
        <f>IF(ISNUMBER(G128),G128*J128,0)</f>
        <v/>
      </c>
      <c r="L128" s="34" t="n"/>
      <c r="M128" s="35" t="n"/>
      <c r="N128" s="36" t="n"/>
      <c r="O128" s="37" t="n"/>
      <c r="P128" s="37" t="n"/>
      <c r="Q128" s="38">
        <f>IF(OR(N128="",M128=""),"",INT(N128-IF(O128="",DefaultBuffer,O128)-M128*7-IF(P128="",DefaultApproval,P128)))</f>
        <v/>
      </c>
      <c r="R128" s="39">
        <f>IF(Q128="","",Q128-TODAY())</f>
        <v/>
      </c>
      <c r="S128" s="40">
        <f>IF(C128="","",IF(OR(T128="On hold",T128="Out of stock"),"Blocked",IF(ISNUMBER(MATCH(T128,OrderedStatuses,0)),"OK",IF(Q128="","Needs dates",IF(R128&lt;0,"Late",IF(R128&lt;=NudgeDays,"At risk","OK"))))))</f>
        <v/>
      </c>
      <c r="T128" s="29" t="n"/>
      <c r="U128" s="36" t="n"/>
      <c r="V128" s="29" t="n"/>
      <c r="W128" s="30" t="n"/>
    </row>
    <row r="129">
      <c r="A129" s="29" t="n"/>
      <c r="B129" s="29" t="n"/>
      <c r="C129" s="30" t="n"/>
      <c r="D129" s="30" t="n"/>
      <c r="E129" s="29" t="n"/>
      <c r="F129" s="29" t="n"/>
      <c r="G129" s="31" t="n"/>
      <c r="H129" s="32" t="n"/>
      <c r="I129" s="29" t="n"/>
      <c r="J129" s="33">
        <f>IF(H129="",0,IFERROR(H129*INDEX(FX_Rate,MATCH(IF(I129="","GBP",I129),FX_Code,0)),0))</f>
        <v/>
      </c>
      <c r="K129" s="33">
        <f>IF(ISNUMBER(G129),G129*J129,0)</f>
        <v/>
      </c>
      <c r="L129" s="34" t="n"/>
      <c r="M129" s="35" t="n"/>
      <c r="N129" s="36" t="n"/>
      <c r="O129" s="37" t="n"/>
      <c r="P129" s="37" t="n"/>
      <c r="Q129" s="38">
        <f>IF(OR(N129="",M129=""),"",INT(N129-IF(O129="",DefaultBuffer,O129)-M129*7-IF(P129="",DefaultApproval,P129)))</f>
        <v/>
      </c>
      <c r="R129" s="39">
        <f>IF(Q129="","",Q129-TODAY())</f>
        <v/>
      </c>
      <c r="S129" s="40">
        <f>IF(C129="","",IF(OR(T129="On hold",T129="Out of stock"),"Blocked",IF(ISNUMBER(MATCH(T129,OrderedStatuses,0)),"OK",IF(Q129="","Needs dates",IF(R129&lt;0,"Late",IF(R129&lt;=NudgeDays,"At risk","OK"))))))</f>
        <v/>
      </c>
      <c r="T129" s="29" t="n"/>
      <c r="U129" s="36" t="n"/>
      <c r="V129" s="29" t="n"/>
      <c r="W129" s="30" t="n"/>
    </row>
    <row r="130">
      <c r="A130" s="29" t="n"/>
      <c r="B130" s="29" t="n"/>
      <c r="C130" s="30" t="n"/>
      <c r="D130" s="30" t="n"/>
      <c r="E130" s="29" t="n"/>
      <c r="F130" s="29" t="n"/>
      <c r="G130" s="31" t="n"/>
      <c r="H130" s="32" t="n"/>
      <c r="I130" s="29" t="n"/>
      <c r="J130" s="33">
        <f>IF(H130="",0,IFERROR(H130*INDEX(FX_Rate,MATCH(IF(I130="","GBP",I130),FX_Code,0)),0))</f>
        <v/>
      </c>
      <c r="K130" s="33">
        <f>IF(ISNUMBER(G130),G130*J130,0)</f>
        <v/>
      </c>
      <c r="L130" s="34" t="n"/>
      <c r="M130" s="35" t="n"/>
      <c r="N130" s="36" t="n"/>
      <c r="O130" s="37" t="n"/>
      <c r="P130" s="37" t="n"/>
      <c r="Q130" s="38">
        <f>IF(OR(N130="",M130=""),"",INT(N130-IF(O130="",DefaultBuffer,O130)-M130*7-IF(P130="",DefaultApproval,P130)))</f>
        <v/>
      </c>
      <c r="R130" s="39">
        <f>IF(Q130="","",Q130-TODAY())</f>
        <v/>
      </c>
      <c r="S130" s="40">
        <f>IF(C130="","",IF(OR(T130="On hold",T130="Out of stock"),"Blocked",IF(ISNUMBER(MATCH(T130,OrderedStatuses,0)),"OK",IF(Q130="","Needs dates",IF(R130&lt;0,"Late",IF(R130&lt;=NudgeDays,"At risk","OK"))))))</f>
        <v/>
      </c>
      <c r="T130" s="29" t="n"/>
      <c r="U130" s="36" t="n"/>
      <c r="V130" s="29" t="n"/>
      <c r="W130" s="30" t="n"/>
    </row>
    <row r="131">
      <c r="A131" s="29" t="n"/>
      <c r="B131" s="29" t="n"/>
      <c r="C131" s="30" t="n"/>
      <c r="D131" s="30" t="n"/>
      <c r="E131" s="29" t="n"/>
      <c r="F131" s="29" t="n"/>
      <c r="G131" s="31" t="n"/>
      <c r="H131" s="32" t="n"/>
      <c r="I131" s="29" t="n"/>
      <c r="J131" s="33">
        <f>IF(H131="",0,IFERROR(H131*INDEX(FX_Rate,MATCH(IF(I131="","GBP",I131),FX_Code,0)),0))</f>
        <v/>
      </c>
      <c r="K131" s="33">
        <f>IF(ISNUMBER(G131),G131*J131,0)</f>
        <v/>
      </c>
      <c r="L131" s="34" t="n"/>
      <c r="M131" s="35" t="n"/>
      <c r="N131" s="36" t="n"/>
      <c r="O131" s="37" t="n"/>
      <c r="P131" s="37" t="n"/>
      <c r="Q131" s="38">
        <f>IF(OR(N131="",M131=""),"",INT(N131-IF(O131="",DefaultBuffer,O131)-M131*7-IF(P131="",DefaultApproval,P131)))</f>
        <v/>
      </c>
      <c r="R131" s="39">
        <f>IF(Q131="","",Q131-TODAY())</f>
        <v/>
      </c>
      <c r="S131" s="40">
        <f>IF(C131="","",IF(OR(T131="On hold",T131="Out of stock"),"Blocked",IF(ISNUMBER(MATCH(T131,OrderedStatuses,0)),"OK",IF(Q131="","Needs dates",IF(R131&lt;0,"Late",IF(R131&lt;=NudgeDays,"At risk","OK"))))))</f>
        <v/>
      </c>
      <c r="T131" s="29" t="n"/>
      <c r="U131" s="36" t="n"/>
      <c r="V131" s="29" t="n"/>
      <c r="W131" s="30" t="n"/>
    </row>
    <row r="132">
      <c r="A132" s="29" t="n"/>
      <c r="B132" s="29" t="n"/>
      <c r="C132" s="30" t="n"/>
      <c r="D132" s="30" t="n"/>
      <c r="E132" s="29" t="n"/>
      <c r="F132" s="29" t="n"/>
      <c r="G132" s="31" t="n"/>
      <c r="H132" s="32" t="n"/>
      <c r="I132" s="29" t="n"/>
      <c r="J132" s="33">
        <f>IF(H132="",0,IFERROR(H132*INDEX(FX_Rate,MATCH(IF(I132="","GBP",I132),FX_Code,0)),0))</f>
        <v/>
      </c>
      <c r="K132" s="33">
        <f>IF(ISNUMBER(G132),G132*J132,0)</f>
        <v/>
      </c>
      <c r="L132" s="34" t="n"/>
      <c r="M132" s="35" t="n"/>
      <c r="N132" s="36" t="n"/>
      <c r="O132" s="37" t="n"/>
      <c r="P132" s="37" t="n"/>
      <c r="Q132" s="38">
        <f>IF(OR(N132="",M132=""),"",INT(N132-IF(O132="",DefaultBuffer,O132)-M132*7-IF(P132="",DefaultApproval,P132)))</f>
        <v/>
      </c>
      <c r="R132" s="39">
        <f>IF(Q132="","",Q132-TODAY())</f>
        <v/>
      </c>
      <c r="S132" s="40">
        <f>IF(C132="","",IF(OR(T132="On hold",T132="Out of stock"),"Blocked",IF(ISNUMBER(MATCH(T132,OrderedStatuses,0)),"OK",IF(Q132="","Needs dates",IF(R132&lt;0,"Late",IF(R132&lt;=NudgeDays,"At risk","OK"))))))</f>
        <v/>
      </c>
      <c r="T132" s="29" t="n"/>
      <c r="U132" s="36" t="n"/>
      <c r="V132" s="29" t="n"/>
      <c r="W132" s="30" t="n"/>
    </row>
    <row r="133">
      <c r="A133" s="29" t="n"/>
      <c r="B133" s="29" t="n"/>
      <c r="C133" s="30" t="n"/>
      <c r="D133" s="30" t="n"/>
      <c r="E133" s="29" t="n"/>
      <c r="F133" s="29" t="n"/>
      <c r="G133" s="31" t="n"/>
      <c r="H133" s="32" t="n"/>
      <c r="I133" s="29" t="n"/>
      <c r="J133" s="33">
        <f>IF(H133="",0,IFERROR(H133*INDEX(FX_Rate,MATCH(IF(I133="","GBP",I133),FX_Code,0)),0))</f>
        <v/>
      </c>
      <c r="K133" s="33">
        <f>IF(ISNUMBER(G133),G133*J133,0)</f>
        <v/>
      </c>
      <c r="L133" s="34" t="n"/>
      <c r="M133" s="35" t="n"/>
      <c r="N133" s="36" t="n"/>
      <c r="O133" s="37" t="n"/>
      <c r="P133" s="37" t="n"/>
      <c r="Q133" s="38">
        <f>IF(OR(N133="",M133=""),"",INT(N133-IF(O133="",DefaultBuffer,O133)-M133*7-IF(P133="",DefaultApproval,P133)))</f>
        <v/>
      </c>
      <c r="R133" s="39">
        <f>IF(Q133="","",Q133-TODAY())</f>
        <v/>
      </c>
      <c r="S133" s="40">
        <f>IF(C133="","",IF(OR(T133="On hold",T133="Out of stock"),"Blocked",IF(ISNUMBER(MATCH(T133,OrderedStatuses,0)),"OK",IF(Q133="","Needs dates",IF(R133&lt;0,"Late",IF(R133&lt;=NudgeDays,"At risk","OK"))))))</f>
        <v/>
      </c>
      <c r="T133" s="29" t="n"/>
      <c r="U133" s="36" t="n"/>
      <c r="V133" s="29" t="n"/>
      <c r="W133" s="30" t="n"/>
    </row>
    <row r="134">
      <c r="A134" s="29" t="n"/>
      <c r="B134" s="29" t="n"/>
      <c r="C134" s="30" t="n"/>
      <c r="D134" s="30" t="n"/>
      <c r="E134" s="29" t="n"/>
      <c r="F134" s="29" t="n"/>
      <c r="G134" s="31" t="n"/>
      <c r="H134" s="32" t="n"/>
      <c r="I134" s="29" t="n"/>
      <c r="J134" s="33">
        <f>IF(H134="",0,IFERROR(H134*INDEX(FX_Rate,MATCH(IF(I134="","GBP",I134),FX_Code,0)),0))</f>
        <v/>
      </c>
      <c r="K134" s="33">
        <f>IF(ISNUMBER(G134),G134*J134,0)</f>
        <v/>
      </c>
      <c r="L134" s="34" t="n"/>
      <c r="M134" s="35" t="n"/>
      <c r="N134" s="36" t="n"/>
      <c r="O134" s="37" t="n"/>
      <c r="P134" s="37" t="n"/>
      <c r="Q134" s="38">
        <f>IF(OR(N134="",M134=""),"",INT(N134-IF(O134="",DefaultBuffer,O134)-M134*7-IF(P134="",DefaultApproval,P134)))</f>
        <v/>
      </c>
      <c r="R134" s="39">
        <f>IF(Q134="","",Q134-TODAY())</f>
        <v/>
      </c>
      <c r="S134" s="40">
        <f>IF(C134="","",IF(OR(T134="On hold",T134="Out of stock"),"Blocked",IF(ISNUMBER(MATCH(T134,OrderedStatuses,0)),"OK",IF(Q134="","Needs dates",IF(R134&lt;0,"Late",IF(R134&lt;=NudgeDays,"At risk","OK"))))))</f>
        <v/>
      </c>
      <c r="T134" s="29" t="n"/>
      <c r="U134" s="36" t="n"/>
      <c r="V134" s="29" t="n"/>
      <c r="W134" s="30" t="n"/>
    </row>
    <row r="135">
      <c r="A135" s="29" t="n"/>
      <c r="B135" s="29" t="n"/>
      <c r="C135" s="30" t="n"/>
      <c r="D135" s="30" t="n"/>
      <c r="E135" s="29" t="n"/>
      <c r="F135" s="29" t="n"/>
      <c r="G135" s="31" t="n"/>
      <c r="H135" s="32" t="n"/>
      <c r="I135" s="29" t="n"/>
      <c r="J135" s="33">
        <f>IF(H135="",0,IFERROR(H135*INDEX(FX_Rate,MATCH(IF(I135="","GBP",I135),FX_Code,0)),0))</f>
        <v/>
      </c>
      <c r="K135" s="33">
        <f>IF(ISNUMBER(G135),G135*J135,0)</f>
        <v/>
      </c>
      <c r="L135" s="34" t="n"/>
      <c r="M135" s="35" t="n"/>
      <c r="N135" s="36" t="n"/>
      <c r="O135" s="37" t="n"/>
      <c r="P135" s="37" t="n"/>
      <c r="Q135" s="38">
        <f>IF(OR(N135="",M135=""),"",INT(N135-IF(O135="",DefaultBuffer,O135)-M135*7-IF(P135="",DefaultApproval,P135)))</f>
        <v/>
      </c>
      <c r="R135" s="39">
        <f>IF(Q135="","",Q135-TODAY())</f>
        <v/>
      </c>
      <c r="S135" s="40">
        <f>IF(C135="","",IF(OR(T135="On hold",T135="Out of stock"),"Blocked",IF(ISNUMBER(MATCH(T135,OrderedStatuses,0)),"OK",IF(Q135="","Needs dates",IF(R135&lt;0,"Late",IF(R135&lt;=NudgeDays,"At risk","OK"))))))</f>
        <v/>
      </c>
      <c r="T135" s="29" t="n"/>
      <c r="U135" s="36" t="n"/>
      <c r="V135" s="29" t="n"/>
      <c r="W135" s="30" t="n"/>
    </row>
    <row r="136">
      <c r="A136" s="29" t="n"/>
      <c r="B136" s="29" t="n"/>
      <c r="C136" s="30" t="n"/>
      <c r="D136" s="30" t="n"/>
      <c r="E136" s="29" t="n"/>
      <c r="F136" s="29" t="n"/>
      <c r="G136" s="31" t="n"/>
      <c r="H136" s="32" t="n"/>
      <c r="I136" s="29" t="n"/>
      <c r="J136" s="33">
        <f>IF(H136="",0,IFERROR(H136*INDEX(FX_Rate,MATCH(IF(I136="","GBP",I136),FX_Code,0)),0))</f>
        <v/>
      </c>
      <c r="K136" s="33">
        <f>IF(ISNUMBER(G136),G136*J136,0)</f>
        <v/>
      </c>
      <c r="L136" s="34" t="n"/>
      <c r="M136" s="35" t="n"/>
      <c r="N136" s="36" t="n"/>
      <c r="O136" s="37" t="n"/>
      <c r="P136" s="37" t="n"/>
      <c r="Q136" s="38">
        <f>IF(OR(N136="",M136=""),"",INT(N136-IF(O136="",DefaultBuffer,O136)-M136*7-IF(P136="",DefaultApproval,P136)))</f>
        <v/>
      </c>
      <c r="R136" s="39">
        <f>IF(Q136="","",Q136-TODAY())</f>
        <v/>
      </c>
      <c r="S136" s="40">
        <f>IF(C136="","",IF(OR(T136="On hold",T136="Out of stock"),"Blocked",IF(ISNUMBER(MATCH(T136,OrderedStatuses,0)),"OK",IF(Q136="","Needs dates",IF(R136&lt;0,"Late",IF(R136&lt;=NudgeDays,"At risk","OK"))))))</f>
        <v/>
      </c>
      <c r="T136" s="29" t="n"/>
      <c r="U136" s="36" t="n"/>
      <c r="V136" s="29" t="n"/>
      <c r="W136" s="30" t="n"/>
    </row>
    <row r="137">
      <c r="A137" s="29" t="n"/>
      <c r="B137" s="29" t="n"/>
      <c r="C137" s="30" t="n"/>
      <c r="D137" s="30" t="n"/>
      <c r="E137" s="29" t="n"/>
      <c r="F137" s="29" t="n"/>
      <c r="G137" s="31" t="n"/>
      <c r="H137" s="32" t="n"/>
      <c r="I137" s="29" t="n"/>
      <c r="J137" s="33">
        <f>IF(H137="",0,IFERROR(H137*INDEX(FX_Rate,MATCH(IF(I137="","GBP",I137),FX_Code,0)),0))</f>
        <v/>
      </c>
      <c r="K137" s="33">
        <f>IF(ISNUMBER(G137),G137*J137,0)</f>
        <v/>
      </c>
      <c r="L137" s="34" t="n"/>
      <c r="M137" s="35" t="n"/>
      <c r="N137" s="36" t="n"/>
      <c r="O137" s="37" t="n"/>
      <c r="P137" s="37" t="n"/>
      <c r="Q137" s="38">
        <f>IF(OR(N137="",M137=""),"",INT(N137-IF(O137="",DefaultBuffer,O137)-M137*7-IF(P137="",DefaultApproval,P137)))</f>
        <v/>
      </c>
      <c r="R137" s="39">
        <f>IF(Q137="","",Q137-TODAY())</f>
        <v/>
      </c>
      <c r="S137" s="40">
        <f>IF(C137="","",IF(OR(T137="On hold",T137="Out of stock"),"Blocked",IF(ISNUMBER(MATCH(T137,OrderedStatuses,0)),"OK",IF(Q137="","Needs dates",IF(R137&lt;0,"Late",IF(R137&lt;=NudgeDays,"At risk","OK"))))))</f>
        <v/>
      </c>
      <c r="T137" s="29" t="n"/>
      <c r="U137" s="36" t="n"/>
      <c r="V137" s="29" t="n"/>
      <c r="W137" s="30" t="n"/>
    </row>
    <row r="138">
      <c r="A138" s="29" t="n"/>
      <c r="B138" s="29" t="n"/>
      <c r="C138" s="30" t="n"/>
      <c r="D138" s="30" t="n"/>
      <c r="E138" s="29" t="n"/>
      <c r="F138" s="29" t="n"/>
      <c r="G138" s="31" t="n"/>
      <c r="H138" s="32" t="n"/>
      <c r="I138" s="29" t="n"/>
      <c r="J138" s="33">
        <f>IF(H138="",0,IFERROR(H138*INDEX(FX_Rate,MATCH(IF(I138="","GBP",I138),FX_Code,0)),0))</f>
        <v/>
      </c>
      <c r="K138" s="33">
        <f>IF(ISNUMBER(G138),G138*J138,0)</f>
        <v/>
      </c>
      <c r="L138" s="34" t="n"/>
      <c r="M138" s="35" t="n"/>
      <c r="N138" s="36" t="n"/>
      <c r="O138" s="37" t="n"/>
      <c r="P138" s="37" t="n"/>
      <c r="Q138" s="38">
        <f>IF(OR(N138="",M138=""),"",INT(N138-IF(O138="",DefaultBuffer,O138)-M138*7-IF(P138="",DefaultApproval,P138)))</f>
        <v/>
      </c>
      <c r="R138" s="39">
        <f>IF(Q138="","",Q138-TODAY())</f>
        <v/>
      </c>
      <c r="S138" s="40">
        <f>IF(C138="","",IF(OR(T138="On hold",T138="Out of stock"),"Blocked",IF(ISNUMBER(MATCH(T138,OrderedStatuses,0)),"OK",IF(Q138="","Needs dates",IF(R138&lt;0,"Late",IF(R138&lt;=NudgeDays,"At risk","OK"))))))</f>
        <v/>
      </c>
      <c r="T138" s="29" t="n"/>
      <c r="U138" s="36" t="n"/>
      <c r="V138" s="29" t="n"/>
      <c r="W138" s="30" t="n"/>
    </row>
    <row r="139">
      <c r="A139" s="29" t="n"/>
      <c r="B139" s="29" t="n"/>
      <c r="C139" s="30" t="n"/>
      <c r="D139" s="30" t="n"/>
      <c r="E139" s="29" t="n"/>
      <c r="F139" s="29" t="n"/>
      <c r="G139" s="31" t="n"/>
      <c r="H139" s="32" t="n"/>
      <c r="I139" s="29" t="n"/>
      <c r="J139" s="33">
        <f>IF(H139="",0,IFERROR(H139*INDEX(FX_Rate,MATCH(IF(I139="","GBP",I139),FX_Code,0)),0))</f>
        <v/>
      </c>
      <c r="K139" s="33">
        <f>IF(ISNUMBER(G139),G139*J139,0)</f>
        <v/>
      </c>
      <c r="L139" s="34" t="n"/>
      <c r="M139" s="35" t="n"/>
      <c r="N139" s="36" t="n"/>
      <c r="O139" s="37" t="n"/>
      <c r="P139" s="37" t="n"/>
      <c r="Q139" s="38">
        <f>IF(OR(N139="",M139=""),"",INT(N139-IF(O139="",DefaultBuffer,O139)-M139*7-IF(P139="",DefaultApproval,P139)))</f>
        <v/>
      </c>
      <c r="R139" s="39">
        <f>IF(Q139="","",Q139-TODAY())</f>
        <v/>
      </c>
      <c r="S139" s="40">
        <f>IF(C139="","",IF(OR(T139="On hold",T139="Out of stock"),"Blocked",IF(ISNUMBER(MATCH(T139,OrderedStatuses,0)),"OK",IF(Q139="","Needs dates",IF(R139&lt;0,"Late",IF(R139&lt;=NudgeDays,"At risk","OK"))))))</f>
        <v/>
      </c>
      <c r="T139" s="29" t="n"/>
      <c r="U139" s="36" t="n"/>
      <c r="V139" s="29" t="n"/>
      <c r="W139" s="30" t="n"/>
    </row>
    <row r="140">
      <c r="A140" s="29" t="n"/>
      <c r="B140" s="29" t="n"/>
      <c r="C140" s="30" t="n"/>
      <c r="D140" s="30" t="n"/>
      <c r="E140" s="29" t="n"/>
      <c r="F140" s="29" t="n"/>
      <c r="G140" s="31" t="n"/>
      <c r="H140" s="32" t="n"/>
      <c r="I140" s="29" t="n"/>
      <c r="J140" s="33">
        <f>IF(H140="",0,IFERROR(H140*INDEX(FX_Rate,MATCH(IF(I140="","GBP",I140),FX_Code,0)),0))</f>
        <v/>
      </c>
      <c r="K140" s="33">
        <f>IF(ISNUMBER(G140),G140*J140,0)</f>
        <v/>
      </c>
      <c r="L140" s="34" t="n"/>
      <c r="M140" s="35" t="n"/>
      <c r="N140" s="36" t="n"/>
      <c r="O140" s="37" t="n"/>
      <c r="P140" s="37" t="n"/>
      <c r="Q140" s="38">
        <f>IF(OR(N140="",M140=""),"",INT(N140-IF(O140="",DefaultBuffer,O140)-M140*7-IF(P140="",DefaultApproval,P140)))</f>
        <v/>
      </c>
      <c r="R140" s="39">
        <f>IF(Q140="","",Q140-TODAY())</f>
        <v/>
      </c>
      <c r="S140" s="40">
        <f>IF(C140="","",IF(OR(T140="On hold",T140="Out of stock"),"Blocked",IF(ISNUMBER(MATCH(T140,OrderedStatuses,0)),"OK",IF(Q140="","Needs dates",IF(R140&lt;0,"Late",IF(R140&lt;=NudgeDays,"At risk","OK"))))))</f>
        <v/>
      </c>
      <c r="T140" s="29" t="n"/>
      <c r="U140" s="36" t="n"/>
      <c r="V140" s="29" t="n"/>
      <c r="W140" s="30" t="n"/>
    </row>
    <row r="141">
      <c r="A141" s="29" t="n"/>
      <c r="B141" s="29" t="n"/>
      <c r="C141" s="30" t="n"/>
      <c r="D141" s="30" t="n"/>
      <c r="E141" s="29" t="n"/>
      <c r="F141" s="29" t="n"/>
      <c r="G141" s="31" t="n"/>
      <c r="H141" s="32" t="n"/>
      <c r="I141" s="29" t="n"/>
      <c r="J141" s="33">
        <f>IF(H141="",0,IFERROR(H141*INDEX(FX_Rate,MATCH(IF(I141="","GBP",I141),FX_Code,0)),0))</f>
        <v/>
      </c>
      <c r="K141" s="33">
        <f>IF(ISNUMBER(G141),G141*J141,0)</f>
        <v/>
      </c>
      <c r="L141" s="34" t="n"/>
      <c r="M141" s="35" t="n"/>
      <c r="N141" s="36" t="n"/>
      <c r="O141" s="37" t="n"/>
      <c r="P141" s="37" t="n"/>
      <c r="Q141" s="38">
        <f>IF(OR(N141="",M141=""),"",INT(N141-IF(O141="",DefaultBuffer,O141)-M141*7-IF(P141="",DefaultApproval,P141)))</f>
        <v/>
      </c>
      <c r="R141" s="39">
        <f>IF(Q141="","",Q141-TODAY())</f>
        <v/>
      </c>
      <c r="S141" s="40">
        <f>IF(C141="","",IF(OR(T141="On hold",T141="Out of stock"),"Blocked",IF(ISNUMBER(MATCH(T141,OrderedStatuses,0)),"OK",IF(Q141="","Needs dates",IF(R141&lt;0,"Late",IF(R141&lt;=NudgeDays,"At risk","OK"))))))</f>
        <v/>
      </c>
      <c r="T141" s="29" t="n"/>
      <c r="U141" s="36" t="n"/>
      <c r="V141" s="29" t="n"/>
      <c r="W141" s="30" t="n"/>
    </row>
    <row r="142">
      <c r="A142" s="29" t="n"/>
      <c r="B142" s="29" t="n"/>
      <c r="C142" s="30" t="n"/>
      <c r="D142" s="30" t="n"/>
      <c r="E142" s="29" t="n"/>
      <c r="F142" s="29" t="n"/>
      <c r="G142" s="31" t="n"/>
      <c r="H142" s="32" t="n"/>
      <c r="I142" s="29" t="n"/>
      <c r="J142" s="33">
        <f>IF(H142="",0,IFERROR(H142*INDEX(FX_Rate,MATCH(IF(I142="","GBP",I142),FX_Code,0)),0))</f>
        <v/>
      </c>
      <c r="K142" s="33">
        <f>IF(ISNUMBER(G142),G142*J142,0)</f>
        <v/>
      </c>
      <c r="L142" s="34" t="n"/>
      <c r="M142" s="35" t="n"/>
      <c r="N142" s="36" t="n"/>
      <c r="O142" s="37" t="n"/>
      <c r="P142" s="37" t="n"/>
      <c r="Q142" s="38">
        <f>IF(OR(N142="",M142=""),"",INT(N142-IF(O142="",DefaultBuffer,O142)-M142*7-IF(P142="",DefaultApproval,P142)))</f>
        <v/>
      </c>
      <c r="R142" s="39">
        <f>IF(Q142="","",Q142-TODAY())</f>
        <v/>
      </c>
      <c r="S142" s="40">
        <f>IF(C142="","",IF(OR(T142="On hold",T142="Out of stock"),"Blocked",IF(ISNUMBER(MATCH(T142,OrderedStatuses,0)),"OK",IF(Q142="","Needs dates",IF(R142&lt;0,"Late",IF(R142&lt;=NudgeDays,"At risk","OK"))))))</f>
        <v/>
      </c>
      <c r="T142" s="29" t="n"/>
      <c r="U142" s="36" t="n"/>
      <c r="V142" s="29" t="n"/>
      <c r="W142" s="30" t="n"/>
    </row>
    <row r="143">
      <c r="A143" s="29" t="n"/>
      <c r="B143" s="29" t="n"/>
      <c r="C143" s="30" t="n"/>
      <c r="D143" s="30" t="n"/>
      <c r="E143" s="29" t="n"/>
      <c r="F143" s="29" t="n"/>
      <c r="G143" s="31" t="n"/>
      <c r="H143" s="32" t="n"/>
      <c r="I143" s="29" t="n"/>
      <c r="J143" s="33">
        <f>IF(H143="",0,IFERROR(H143*INDEX(FX_Rate,MATCH(IF(I143="","GBP",I143),FX_Code,0)),0))</f>
        <v/>
      </c>
      <c r="K143" s="33">
        <f>IF(ISNUMBER(G143),G143*J143,0)</f>
        <v/>
      </c>
      <c r="L143" s="34" t="n"/>
      <c r="M143" s="35" t="n"/>
      <c r="N143" s="36" t="n"/>
      <c r="O143" s="37" t="n"/>
      <c r="P143" s="37" t="n"/>
      <c r="Q143" s="38">
        <f>IF(OR(N143="",M143=""),"",INT(N143-IF(O143="",DefaultBuffer,O143)-M143*7-IF(P143="",DefaultApproval,P143)))</f>
        <v/>
      </c>
      <c r="R143" s="39">
        <f>IF(Q143="","",Q143-TODAY())</f>
        <v/>
      </c>
      <c r="S143" s="40">
        <f>IF(C143="","",IF(OR(T143="On hold",T143="Out of stock"),"Blocked",IF(ISNUMBER(MATCH(T143,OrderedStatuses,0)),"OK",IF(Q143="","Needs dates",IF(R143&lt;0,"Late",IF(R143&lt;=NudgeDays,"At risk","OK"))))))</f>
        <v/>
      </c>
      <c r="T143" s="29" t="n"/>
      <c r="U143" s="36" t="n"/>
      <c r="V143" s="29" t="n"/>
      <c r="W143" s="30" t="n"/>
    </row>
    <row r="144">
      <c r="A144" s="29" t="n"/>
      <c r="B144" s="29" t="n"/>
      <c r="C144" s="30" t="n"/>
      <c r="D144" s="30" t="n"/>
      <c r="E144" s="29" t="n"/>
      <c r="F144" s="29" t="n"/>
      <c r="G144" s="31" t="n"/>
      <c r="H144" s="32" t="n"/>
      <c r="I144" s="29" t="n"/>
      <c r="J144" s="33">
        <f>IF(H144="",0,IFERROR(H144*INDEX(FX_Rate,MATCH(IF(I144="","GBP",I144),FX_Code,0)),0))</f>
        <v/>
      </c>
      <c r="K144" s="33">
        <f>IF(ISNUMBER(G144),G144*J144,0)</f>
        <v/>
      </c>
      <c r="L144" s="34" t="n"/>
      <c r="M144" s="35" t="n"/>
      <c r="N144" s="36" t="n"/>
      <c r="O144" s="37" t="n"/>
      <c r="P144" s="37" t="n"/>
      <c r="Q144" s="38">
        <f>IF(OR(N144="",M144=""),"",INT(N144-IF(O144="",DefaultBuffer,O144)-M144*7-IF(P144="",DefaultApproval,P144)))</f>
        <v/>
      </c>
      <c r="R144" s="39">
        <f>IF(Q144="","",Q144-TODAY())</f>
        <v/>
      </c>
      <c r="S144" s="40">
        <f>IF(C144="","",IF(OR(T144="On hold",T144="Out of stock"),"Blocked",IF(ISNUMBER(MATCH(T144,OrderedStatuses,0)),"OK",IF(Q144="","Needs dates",IF(R144&lt;0,"Late",IF(R144&lt;=NudgeDays,"At risk","OK"))))))</f>
        <v/>
      </c>
      <c r="T144" s="29" t="n"/>
      <c r="U144" s="36" t="n"/>
      <c r="V144" s="29" t="n"/>
      <c r="W144" s="30" t="n"/>
    </row>
    <row r="145">
      <c r="A145" s="29" t="n"/>
      <c r="B145" s="29" t="n"/>
      <c r="C145" s="30" t="n"/>
      <c r="D145" s="30" t="n"/>
      <c r="E145" s="29" t="n"/>
      <c r="F145" s="29" t="n"/>
      <c r="G145" s="31" t="n"/>
      <c r="H145" s="32" t="n"/>
      <c r="I145" s="29" t="n"/>
      <c r="J145" s="33">
        <f>IF(H145="",0,IFERROR(H145*INDEX(FX_Rate,MATCH(IF(I145="","GBP",I145),FX_Code,0)),0))</f>
        <v/>
      </c>
      <c r="K145" s="33">
        <f>IF(ISNUMBER(G145),G145*J145,0)</f>
        <v/>
      </c>
      <c r="L145" s="34" t="n"/>
      <c r="M145" s="35" t="n"/>
      <c r="N145" s="36" t="n"/>
      <c r="O145" s="37" t="n"/>
      <c r="P145" s="37" t="n"/>
      <c r="Q145" s="38">
        <f>IF(OR(N145="",M145=""),"",INT(N145-IF(O145="",DefaultBuffer,O145)-M145*7-IF(P145="",DefaultApproval,P145)))</f>
        <v/>
      </c>
      <c r="R145" s="39">
        <f>IF(Q145="","",Q145-TODAY())</f>
        <v/>
      </c>
      <c r="S145" s="40">
        <f>IF(C145="","",IF(OR(T145="On hold",T145="Out of stock"),"Blocked",IF(ISNUMBER(MATCH(T145,OrderedStatuses,0)),"OK",IF(Q145="","Needs dates",IF(R145&lt;0,"Late",IF(R145&lt;=NudgeDays,"At risk","OK"))))))</f>
        <v/>
      </c>
      <c r="T145" s="29" t="n"/>
      <c r="U145" s="36" t="n"/>
      <c r="V145" s="29" t="n"/>
      <c r="W145" s="30" t="n"/>
    </row>
    <row r="146">
      <c r="A146" s="29" t="n"/>
      <c r="B146" s="29" t="n"/>
      <c r="C146" s="30" t="n"/>
      <c r="D146" s="30" t="n"/>
      <c r="E146" s="29" t="n"/>
      <c r="F146" s="29" t="n"/>
      <c r="G146" s="31" t="n"/>
      <c r="H146" s="32" t="n"/>
      <c r="I146" s="29" t="n"/>
      <c r="J146" s="33">
        <f>IF(H146="",0,IFERROR(H146*INDEX(FX_Rate,MATCH(IF(I146="","GBP",I146),FX_Code,0)),0))</f>
        <v/>
      </c>
      <c r="K146" s="33">
        <f>IF(ISNUMBER(G146),G146*J146,0)</f>
        <v/>
      </c>
      <c r="L146" s="34" t="n"/>
      <c r="M146" s="35" t="n"/>
      <c r="N146" s="36" t="n"/>
      <c r="O146" s="37" t="n"/>
      <c r="P146" s="37" t="n"/>
      <c r="Q146" s="38">
        <f>IF(OR(N146="",M146=""),"",INT(N146-IF(O146="",DefaultBuffer,O146)-M146*7-IF(P146="",DefaultApproval,P146)))</f>
        <v/>
      </c>
      <c r="R146" s="39">
        <f>IF(Q146="","",Q146-TODAY())</f>
        <v/>
      </c>
      <c r="S146" s="40">
        <f>IF(C146="","",IF(OR(T146="On hold",T146="Out of stock"),"Blocked",IF(ISNUMBER(MATCH(T146,OrderedStatuses,0)),"OK",IF(Q146="","Needs dates",IF(R146&lt;0,"Late",IF(R146&lt;=NudgeDays,"At risk","OK"))))))</f>
        <v/>
      </c>
      <c r="T146" s="29" t="n"/>
      <c r="U146" s="36" t="n"/>
      <c r="V146" s="29" t="n"/>
      <c r="W146" s="30" t="n"/>
    </row>
    <row r="147">
      <c r="A147" s="29" t="n"/>
      <c r="B147" s="29" t="n"/>
      <c r="C147" s="30" t="n"/>
      <c r="D147" s="30" t="n"/>
      <c r="E147" s="29" t="n"/>
      <c r="F147" s="29" t="n"/>
      <c r="G147" s="31" t="n"/>
      <c r="H147" s="32" t="n"/>
      <c r="I147" s="29" t="n"/>
      <c r="J147" s="33">
        <f>IF(H147="",0,IFERROR(H147*INDEX(FX_Rate,MATCH(IF(I147="","GBP",I147),FX_Code,0)),0))</f>
        <v/>
      </c>
      <c r="K147" s="33">
        <f>IF(ISNUMBER(G147),G147*J147,0)</f>
        <v/>
      </c>
      <c r="L147" s="34" t="n"/>
      <c r="M147" s="35" t="n"/>
      <c r="N147" s="36" t="n"/>
      <c r="O147" s="37" t="n"/>
      <c r="P147" s="37" t="n"/>
      <c r="Q147" s="38">
        <f>IF(OR(N147="",M147=""),"",INT(N147-IF(O147="",DefaultBuffer,O147)-M147*7-IF(P147="",DefaultApproval,P147)))</f>
        <v/>
      </c>
      <c r="R147" s="39">
        <f>IF(Q147="","",Q147-TODAY())</f>
        <v/>
      </c>
      <c r="S147" s="40">
        <f>IF(C147="","",IF(OR(T147="On hold",T147="Out of stock"),"Blocked",IF(ISNUMBER(MATCH(T147,OrderedStatuses,0)),"OK",IF(Q147="","Needs dates",IF(R147&lt;0,"Late",IF(R147&lt;=NudgeDays,"At risk","OK"))))))</f>
        <v/>
      </c>
      <c r="T147" s="29" t="n"/>
      <c r="U147" s="36" t="n"/>
      <c r="V147" s="29" t="n"/>
      <c r="W147" s="30" t="n"/>
    </row>
    <row r="148">
      <c r="A148" s="29" t="n"/>
      <c r="B148" s="29" t="n"/>
      <c r="C148" s="30" t="n"/>
      <c r="D148" s="30" t="n"/>
      <c r="E148" s="29" t="n"/>
      <c r="F148" s="29" t="n"/>
      <c r="G148" s="31" t="n"/>
      <c r="H148" s="32" t="n"/>
      <c r="I148" s="29" t="n"/>
      <c r="J148" s="33">
        <f>IF(H148="",0,IFERROR(H148*INDEX(FX_Rate,MATCH(IF(I148="","GBP",I148),FX_Code,0)),0))</f>
        <v/>
      </c>
      <c r="K148" s="33">
        <f>IF(ISNUMBER(G148),G148*J148,0)</f>
        <v/>
      </c>
      <c r="L148" s="34" t="n"/>
      <c r="M148" s="35" t="n"/>
      <c r="N148" s="36" t="n"/>
      <c r="O148" s="37" t="n"/>
      <c r="P148" s="37" t="n"/>
      <c r="Q148" s="38">
        <f>IF(OR(N148="",M148=""),"",INT(N148-IF(O148="",DefaultBuffer,O148)-M148*7-IF(P148="",DefaultApproval,P148)))</f>
        <v/>
      </c>
      <c r="R148" s="39">
        <f>IF(Q148="","",Q148-TODAY())</f>
        <v/>
      </c>
      <c r="S148" s="40">
        <f>IF(C148="","",IF(OR(T148="On hold",T148="Out of stock"),"Blocked",IF(ISNUMBER(MATCH(T148,OrderedStatuses,0)),"OK",IF(Q148="","Needs dates",IF(R148&lt;0,"Late",IF(R148&lt;=NudgeDays,"At risk","OK"))))))</f>
        <v/>
      </c>
      <c r="T148" s="29" t="n"/>
      <c r="U148" s="36" t="n"/>
      <c r="V148" s="29" t="n"/>
      <c r="W148" s="30" t="n"/>
    </row>
    <row r="149">
      <c r="A149" s="29" t="n"/>
      <c r="B149" s="29" t="n"/>
      <c r="C149" s="30" t="n"/>
      <c r="D149" s="30" t="n"/>
      <c r="E149" s="29" t="n"/>
      <c r="F149" s="29" t="n"/>
      <c r="G149" s="31" t="n"/>
      <c r="H149" s="32" t="n"/>
      <c r="I149" s="29" t="n"/>
      <c r="J149" s="33">
        <f>IF(H149="",0,IFERROR(H149*INDEX(FX_Rate,MATCH(IF(I149="","GBP",I149),FX_Code,0)),0))</f>
        <v/>
      </c>
      <c r="K149" s="33">
        <f>IF(ISNUMBER(G149),G149*J149,0)</f>
        <v/>
      </c>
      <c r="L149" s="34" t="n"/>
      <c r="M149" s="35" t="n"/>
      <c r="N149" s="36" t="n"/>
      <c r="O149" s="37" t="n"/>
      <c r="P149" s="37" t="n"/>
      <c r="Q149" s="38">
        <f>IF(OR(N149="",M149=""),"",INT(N149-IF(O149="",DefaultBuffer,O149)-M149*7-IF(P149="",DefaultApproval,P149)))</f>
        <v/>
      </c>
      <c r="R149" s="39">
        <f>IF(Q149="","",Q149-TODAY())</f>
        <v/>
      </c>
      <c r="S149" s="40">
        <f>IF(C149="","",IF(OR(T149="On hold",T149="Out of stock"),"Blocked",IF(ISNUMBER(MATCH(T149,OrderedStatuses,0)),"OK",IF(Q149="","Needs dates",IF(R149&lt;0,"Late",IF(R149&lt;=NudgeDays,"At risk","OK"))))))</f>
        <v/>
      </c>
      <c r="T149" s="29" t="n"/>
      <c r="U149" s="36" t="n"/>
      <c r="V149" s="29" t="n"/>
      <c r="W149" s="30" t="n"/>
    </row>
    <row r="150">
      <c r="A150" s="29" t="n"/>
      <c r="B150" s="29" t="n"/>
      <c r="C150" s="30" t="n"/>
      <c r="D150" s="30" t="n"/>
      <c r="E150" s="29" t="n"/>
      <c r="F150" s="29" t="n"/>
      <c r="G150" s="31" t="n"/>
      <c r="H150" s="32" t="n"/>
      <c r="I150" s="29" t="n"/>
      <c r="J150" s="33">
        <f>IF(H150="",0,IFERROR(H150*INDEX(FX_Rate,MATCH(IF(I150="","GBP",I150),FX_Code,0)),0))</f>
        <v/>
      </c>
      <c r="K150" s="33">
        <f>IF(ISNUMBER(G150),G150*J150,0)</f>
        <v/>
      </c>
      <c r="L150" s="34" t="n"/>
      <c r="M150" s="35" t="n"/>
      <c r="N150" s="36" t="n"/>
      <c r="O150" s="37" t="n"/>
      <c r="P150" s="37" t="n"/>
      <c r="Q150" s="38">
        <f>IF(OR(N150="",M150=""),"",INT(N150-IF(O150="",DefaultBuffer,O150)-M150*7-IF(P150="",DefaultApproval,P150)))</f>
        <v/>
      </c>
      <c r="R150" s="39">
        <f>IF(Q150="","",Q150-TODAY())</f>
        <v/>
      </c>
      <c r="S150" s="40">
        <f>IF(C150="","",IF(OR(T150="On hold",T150="Out of stock"),"Blocked",IF(ISNUMBER(MATCH(T150,OrderedStatuses,0)),"OK",IF(Q150="","Needs dates",IF(R150&lt;0,"Late",IF(R150&lt;=NudgeDays,"At risk","OK"))))))</f>
        <v/>
      </c>
      <c r="T150" s="29" t="n"/>
      <c r="U150" s="36" t="n"/>
      <c r="V150" s="29" t="n"/>
      <c r="W150" s="30" t="n"/>
    </row>
    <row r="151">
      <c r="A151" s="29" t="n"/>
      <c r="B151" s="29" t="n"/>
      <c r="C151" s="30" t="n"/>
      <c r="D151" s="30" t="n"/>
      <c r="E151" s="29" t="n"/>
      <c r="F151" s="29" t="n"/>
      <c r="G151" s="31" t="n"/>
      <c r="H151" s="32" t="n"/>
      <c r="I151" s="29" t="n"/>
      <c r="J151" s="33">
        <f>IF(H151="",0,IFERROR(H151*INDEX(FX_Rate,MATCH(IF(I151="","GBP",I151),FX_Code,0)),0))</f>
        <v/>
      </c>
      <c r="K151" s="33">
        <f>IF(ISNUMBER(G151),G151*J151,0)</f>
        <v/>
      </c>
      <c r="L151" s="34" t="n"/>
      <c r="M151" s="35" t="n"/>
      <c r="N151" s="36" t="n"/>
      <c r="O151" s="37" t="n"/>
      <c r="P151" s="37" t="n"/>
      <c r="Q151" s="38">
        <f>IF(OR(N151="",M151=""),"",INT(N151-IF(O151="",DefaultBuffer,O151)-M151*7-IF(P151="",DefaultApproval,P151)))</f>
        <v/>
      </c>
      <c r="R151" s="39">
        <f>IF(Q151="","",Q151-TODAY())</f>
        <v/>
      </c>
      <c r="S151" s="40">
        <f>IF(C151="","",IF(OR(T151="On hold",T151="Out of stock"),"Blocked",IF(ISNUMBER(MATCH(T151,OrderedStatuses,0)),"OK",IF(Q151="","Needs dates",IF(R151&lt;0,"Late",IF(R151&lt;=NudgeDays,"At risk","OK"))))))</f>
        <v/>
      </c>
      <c r="T151" s="29" t="n"/>
      <c r="U151" s="36" t="n"/>
      <c r="V151" s="29" t="n"/>
      <c r="W151" s="30" t="n"/>
    </row>
    <row r="152">
      <c r="A152" s="29" t="n"/>
      <c r="B152" s="29" t="n"/>
      <c r="C152" s="30" t="n"/>
      <c r="D152" s="30" t="n"/>
      <c r="E152" s="29" t="n"/>
      <c r="F152" s="29" t="n"/>
      <c r="G152" s="31" t="n"/>
      <c r="H152" s="32" t="n"/>
      <c r="I152" s="29" t="n"/>
      <c r="J152" s="33">
        <f>IF(H152="",0,IFERROR(H152*INDEX(FX_Rate,MATCH(IF(I152="","GBP",I152),FX_Code,0)),0))</f>
        <v/>
      </c>
      <c r="K152" s="33">
        <f>IF(ISNUMBER(G152),G152*J152,0)</f>
        <v/>
      </c>
      <c r="L152" s="34" t="n"/>
      <c r="M152" s="35" t="n"/>
      <c r="N152" s="36" t="n"/>
      <c r="O152" s="37" t="n"/>
      <c r="P152" s="37" t="n"/>
      <c r="Q152" s="38">
        <f>IF(OR(N152="",M152=""),"",INT(N152-IF(O152="",DefaultBuffer,O152)-M152*7-IF(P152="",DefaultApproval,P152)))</f>
        <v/>
      </c>
      <c r="R152" s="39">
        <f>IF(Q152="","",Q152-TODAY())</f>
        <v/>
      </c>
      <c r="S152" s="40">
        <f>IF(C152="","",IF(OR(T152="On hold",T152="Out of stock"),"Blocked",IF(ISNUMBER(MATCH(T152,OrderedStatuses,0)),"OK",IF(Q152="","Needs dates",IF(R152&lt;0,"Late",IF(R152&lt;=NudgeDays,"At risk","OK"))))))</f>
        <v/>
      </c>
      <c r="T152" s="29" t="n"/>
      <c r="U152" s="36" t="n"/>
      <c r="V152" s="29" t="n"/>
      <c r="W152" s="30" t="n"/>
    </row>
    <row r="153">
      <c r="A153" s="29" t="n"/>
      <c r="B153" s="29" t="n"/>
      <c r="C153" s="30" t="n"/>
      <c r="D153" s="30" t="n"/>
      <c r="E153" s="29" t="n"/>
      <c r="F153" s="29" t="n"/>
      <c r="G153" s="31" t="n"/>
      <c r="H153" s="32" t="n"/>
      <c r="I153" s="29" t="n"/>
      <c r="J153" s="33">
        <f>IF(H153="",0,IFERROR(H153*INDEX(FX_Rate,MATCH(IF(I153="","GBP",I153),FX_Code,0)),0))</f>
        <v/>
      </c>
      <c r="K153" s="33">
        <f>IF(ISNUMBER(G153),G153*J153,0)</f>
        <v/>
      </c>
      <c r="L153" s="34" t="n"/>
      <c r="M153" s="35" t="n"/>
      <c r="N153" s="36" t="n"/>
      <c r="O153" s="37" t="n"/>
      <c r="P153" s="37" t="n"/>
      <c r="Q153" s="38">
        <f>IF(OR(N153="",M153=""),"",INT(N153-IF(O153="",DefaultBuffer,O153)-M153*7-IF(P153="",DefaultApproval,P153)))</f>
        <v/>
      </c>
      <c r="R153" s="39">
        <f>IF(Q153="","",Q153-TODAY())</f>
        <v/>
      </c>
      <c r="S153" s="40">
        <f>IF(C153="","",IF(OR(T153="On hold",T153="Out of stock"),"Blocked",IF(ISNUMBER(MATCH(T153,OrderedStatuses,0)),"OK",IF(Q153="","Needs dates",IF(R153&lt;0,"Late",IF(R153&lt;=NudgeDays,"At risk","OK"))))))</f>
        <v/>
      </c>
      <c r="T153" s="29" t="n"/>
      <c r="U153" s="36" t="n"/>
      <c r="V153" s="29" t="n"/>
      <c r="W153" s="30" t="n"/>
    </row>
    <row r="154">
      <c r="A154" s="29" t="n"/>
      <c r="B154" s="29" t="n"/>
      <c r="C154" s="30" t="n"/>
      <c r="D154" s="30" t="n"/>
      <c r="E154" s="29" t="n"/>
      <c r="F154" s="29" t="n"/>
      <c r="G154" s="31" t="n"/>
      <c r="H154" s="32" t="n"/>
      <c r="I154" s="29" t="n"/>
      <c r="J154" s="33">
        <f>IF(H154="",0,IFERROR(H154*INDEX(FX_Rate,MATCH(IF(I154="","GBP",I154),FX_Code,0)),0))</f>
        <v/>
      </c>
      <c r="K154" s="33">
        <f>IF(ISNUMBER(G154),G154*J154,0)</f>
        <v/>
      </c>
      <c r="L154" s="34" t="n"/>
      <c r="M154" s="35" t="n"/>
      <c r="N154" s="36" t="n"/>
      <c r="O154" s="37" t="n"/>
      <c r="P154" s="37" t="n"/>
      <c r="Q154" s="38">
        <f>IF(OR(N154="",M154=""),"",INT(N154-IF(O154="",DefaultBuffer,O154)-M154*7-IF(P154="",DefaultApproval,P154)))</f>
        <v/>
      </c>
      <c r="R154" s="39">
        <f>IF(Q154="","",Q154-TODAY())</f>
        <v/>
      </c>
      <c r="S154" s="40">
        <f>IF(C154="","",IF(OR(T154="On hold",T154="Out of stock"),"Blocked",IF(ISNUMBER(MATCH(T154,OrderedStatuses,0)),"OK",IF(Q154="","Needs dates",IF(R154&lt;0,"Late",IF(R154&lt;=NudgeDays,"At risk","OK"))))))</f>
        <v/>
      </c>
      <c r="T154" s="29" t="n"/>
      <c r="U154" s="36" t="n"/>
      <c r="V154" s="29" t="n"/>
      <c r="W154" s="30" t="n"/>
    </row>
    <row r="155">
      <c r="A155" s="29" t="n"/>
      <c r="B155" s="29" t="n"/>
      <c r="C155" s="30" t="n"/>
      <c r="D155" s="30" t="n"/>
      <c r="E155" s="29" t="n"/>
      <c r="F155" s="29" t="n"/>
      <c r="G155" s="31" t="n"/>
      <c r="H155" s="32" t="n"/>
      <c r="I155" s="29" t="n"/>
      <c r="J155" s="33">
        <f>IF(H155="",0,IFERROR(H155*INDEX(FX_Rate,MATCH(IF(I155="","GBP",I155),FX_Code,0)),0))</f>
        <v/>
      </c>
      <c r="K155" s="33">
        <f>IF(ISNUMBER(G155),G155*J155,0)</f>
        <v/>
      </c>
      <c r="L155" s="34" t="n"/>
      <c r="M155" s="35" t="n"/>
      <c r="N155" s="36" t="n"/>
      <c r="O155" s="37" t="n"/>
      <c r="P155" s="37" t="n"/>
      <c r="Q155" s="38">
        <f>IF(OR(N155="",M155=""),"",INT(N155-IF(O155="",DefaultBuffer,O155)-M155*7-IF(P155="",DefaultApproval,P155)))</f>
        <v/>
      </c>
      <c r="R155" s="39">
        <f>IF(Q155="","",Q155-TODAY())</f>
        <v/>
      </c>
      <c r="S155" s="40">
        <f>IF(C155="","",IF(OR(T155="On hold",T155="Out of stock"),"Blocked",IF(ISNUMBER(MATCH(T155,OrderedStatuses,0)),"OK",IF(Q155="","Needs dates",IF(R155&lt;0,"Late",IF(R155&lt;=NudgeDays,"At risk","OK"))))))</f>
        <v/>
      </c>
      <c r="T155" s="29" t="n"/>
      <c r="U155" s="36" t="n"/>
      <c r="V155" s="29" t="n"/>
      <c r="W155" s="30" t="n"/>
    </row>
    <row r="156">
      <c r="A156" s="29" t="n"/>
      <c r="B156" s="29" t="n"/>
      <c r="C156" s="30" t="n"/>
      <c r="D156" s="30" t="n"/>
      <c r="E156" s="29" t="n"/>
      <c r="F156" s="29" t="n"/>
      <c r="G156" s="31" t="n"/>
      <c r="H156" s="32" t="n"/>
      <c r="I156" s="29" t="n"/>
      <c r="J156" s="33">
        <f>IF(H156="",0,IFERROR(H156*INDEX(FX_Rate,MATCH(IF(I156="","GBP",I156),FX_Code,0)),0))</f>
        <v/>
      </c>
      <c r="K156" s="33">
        <f>IF(ISNUMBER(G156),G156*J156,0)</f>
        <v/>
      </c>
      <c r="L156" s="34" t="n"/>
      <c r="M156" s="35" t="n"/>
      <c r="N156" s="36" t="n"/>
      <c r="O156" s="37" t="n"/>
      <c r="P156" s="37" t="n"/>
      <c r="Q156" s="38">
        <f>IF(OR(N156="",M156=""),"",INT(N156-IF(O156="",DefaultBuffer,O156)-M156*7-IF(P156="",DefaultApproval,P156)))</f>
        <v/>
      </c>
      <c r="R156" s="39">
        <f>IF(Q156="","",Q156-TODAY())</f>
        <v/>
      </c>
      <c r="S156" s="40">
        <f>IF(C156="","",IF(OR(T156="On hold",T156="Out of stock"),"Blocked",IF(ISNUMBER(MATCH(T156,OrderedStatuses,0)),"OK",IF(Q156="","Needs dates",IF(R156&lt;0,"Late",IF(R156&lt;=NudgeDays,"At risk","OK"))))))</f>
        <v/>
      </c>
      <c r="T156" s="29" t="n"/>
      <c r="U156" s="36" t="n"/>
      <c r="V156" s="29" t="n"/>
      <c r="W156" s="30" t="n"/>
    </row>
    <row r="157">
      <c r="A157" s="29" t="n"/>
      <c r="B157" s="29" t="n"/>
      <c r="C157" s="30" t="n"/>
      <c r="D157" s="30" t="n"/>
      <c r="E157" s="29" t="n"/>
      <c r="F157" s="29" t="n"/>
      <c r="G157" s="31" t="n"/>
      <c r="H157" s="32" t="n"/>
      <c r="I157" s="29" t="n"/>
      <c r="J157" s="33">
        <f>IF(H157="",0,IFERROR(H157*INDEX(FX_Rate,MATCH(IF(I157="","GBP",I157),FX_Code,0)),0))</f>
        <v/>
      </c>
      <c r="K157" s="33">
        <f>IF(ISNUMBER(G157),G157*J157,0)</f>
        <v/>
      </c>
      <c r="L157" s="34" t="n"/>
      <c r="M157" s="35" t="n"/>
      <c r="N157" s="36" t="n"/>
      <c r="O157" s="37" t="n"/>
      <c r="P157" s="37" t="n"/>
      <c r="Q157" s="38">
        <f>IF(OR(N157="",M157=""),"",INT(N157-IF(O157="",DefaultBuffer,O157)-M157*7-IF(P157="",DefaultApproval,P157)))</f>
        <v/>
      </c>
      <c r="R157" s="39">
        <f>IF(Q157="","",Q157-TODAY())</f>
        <v/>
      </c>
      <c r="S157" s="40">
        <f>IF(C157="","",IF(OR(T157="On hold",T157="Out of stock"),"Blocked",IF(ISNUMBER(MATCH(T157,OrderedStatuses,0)),"OK",IF(Q157="","Needs dates",IF(R157&lt;0,"Late",IF(R157&lt;=NudgeDays,"At risk","OK"))))))</f>
        <v/>
      </c>
      <c r="T157" s="29" t="n"/>
      <c r="U157" s="36" t="n"/>
      <c r="V157" s="29" t="n"/>
      <c r="W157" s="30" t="n"/>
    </row>
    <row r="158">
      <c r="A158" s="29" t="n"/>
      <c r="B158" s="29" t="n"/>
      <c r="C158" s="30" t="n"/>
      <c r="D158" s="30" t="n"/>
      <c r="E158" s="29" t="n"/>
      <c r="F158" s="29" t="n"/>
      <c r="G158" s="31" t="n"/>
      <c r="H158" s="32" t="n"/>
      <c r="I158" s="29" t="n"/>
      <c r="J158" s="33">
        <f>IF(H158="",0,IFERROR(H158*INDEX(FX_Rate,MATCH(IF(I158="","GBP",I158),FX_Code,0)),0))</f>
        <v/>
      </c>
      <c r="K158" s="33">
        <f>IF(ISNUMBER(G158),G158*J158,0)</f>
        <v/>
      </c>
      <c r="L158" s="34" t="n"/>
      <c r="M158" s="35" t="n"/>
      <c r="N158" s="36" t="n"/>
      <c r="O158" s="37" t="n"/>
      <c r="P158" s="37" t="n"/>
      <c r="Q158" s="38">
        <f>IF(OR(N158="",M158=""),"",INT(N158-IF(O158="",DefaultBuffer,O158)-M158*7-IF(P158="",DefaultApproval,P158)))</f>
        <v/>
      </c>
      <c r="R158" s="39">
        <f>IF(Q158="","",Q158-TODAY())</f>
        <v/>
      </c>
      <c r="S158" s="40">
        <f>IF(C158="","",IF(OR(T158="On hold",T158="Out of stock"),"Blocked",IF(ISNUMBER(MATCH(T158,OrderedStatuses,0)),"OK",IF(Q158="","Needs dates",IF(R158&lt;0,"Late",IF(R158&lt;=NudgeDays,"At risk","OK"))))))</f>
        <v/>
      </c>
      <c r="T158" s="29" t="n"/>
      <c r="U158" s="36" t="n"/>
      <c r="V158" s="29" t="n"/>
      <c r="W158" s="30" t="n"/>
    </row>
    <row r="159">
      <c r="A159" s="29" t="n"/>
      <c r="B159" s="29" t="n"/>
      <c r="C159" s="30" t="n"/>
      <c r="D159" s="30" t="n"/>
      <c r="E159" s="29" t="n"/>
      <c r="F159" s="29" t="n"/>
      <c r="G159" s="31" t="n"/>
      <c r="H159" s="32" t="n"/>
      <c r="I159" s="29" t="n"/>
      <c r="J159" s="33">
        <f>IF(H159="",0,IFERROR(H159*INDEX(FX_Rate,MATCH(IF(I159="","GBP",I159),FX_Code,0)),0))</f>
        <v/>
      </c>
      <c r="K159" s="33">
        <f>IF(ISNUMBER(G159),G159*J159,0)</f>
        <v/>
      </c>
      <c r="L159" s="34" t="n"/>
      <c r="M159" s="35" t="n"/>
      <c r="N159" s="36" t="n"/>
      <c r="O159" s="37" t="n"/>
      <c r="P159" s="37" t="n"/>
      <c r="Q159" s="38">
        <f>IF(OR(N159="",M159=""),"",INT(N159-IF(O159="",DefaultBuffer,O159)-M159*7-IF(P159="",DefaultApproval,P159)))</f>
        <v/>
      </c>
      <c r="R159" s="39">
        <f>IF(Q159="","",Q159-TODAY())</f>
        <v/>
      </c>
      <c r="S159" s="40">
        <f>IF(C159="","",IF(OR(T159="On hold",T159="Out of stock"),"Blocked",IF(ISNUMBER(MATCH(T159,OrderedStatuses,0)),"OK",IF(Q159="","Needs dates",IF(R159&lt;0,"Late",IF(R159&lt;=NudgeDays,"At risk","OK"))))))</f>
        <v/>
      </c>
      <c r="T159" s="29" t="n"/>
      <c r="U159" s="36" t="n"/>
      <c r="V159" s="29" t="n"/>
      <c r="W159" s="30" t="n"/>
    </row>
    <row r="160">
      <c r="A160" s="29" t="n"/>
      <c r="B160" s="29" t="n"/>
      <c r="C160" s="30" t="n"/>
      <c r="D160" s="30" t="n"/>
      <c r="E160" s="29" t="n"/>
      <c r="F160" s="29" t="n"/>
      <c r="G160" s="31" t="n"/>
      <c r="H160" s="32" t="n"/>
      <c r="I160" s="29" t="n"/>
      <c r="J160" s="33">
        <f>IF(H160="",0,IFERROR(H160*INDEX(FX_Rate,MATCH(IF(I160="","GBP",I160),FX_Code,0)),0))</f>
        <v/>
      </c>
      <c r="K160" s="33">
        <f>IF(ISNUMBER(G160),G160*J160,0)</f>
        <v/>
      </c>
      <c r="L160" s="34" t="n"/>
      <c r="M160" s="35" t="n"/>
      <c r="N160" s="36" t="n"/>
      <c r="O160" s="37" t="n"/>
      <c r="P160" s="37" t="n"/>
      <c r="Q160" s="38">
        <f>IF(OR(N160="",M160=""),"",INT(N160-IF(O160="",DefaultBuffer,O160)-M160*7-IF(P160="",DefaultApproval,P160)))</f>
        <v/>
      </c>
      <c r="R160" s="39">
        <f>IF(Q160="","",Q160-TODAY())</f>
        <v/>
      </c>
      <c r="S160" s="40">
        <f>IF(C160="","",IF(OR(T160="On hold",T160="Out of stock"),"Blocked",IF(ISNUMBER(MATCH(T160,OrderedStatuses,0)),"OK",IF(Q160="","Needs dates",IF(R160&lt;0,"Late",IF(R160&lt;=NudgeDays,"At risk","OK"))))))</f>
        <v/>
      </c>
      <c r="T160" s="29" t="n"/>
      <c r="U160" s="36" t="n"/>
      <c r="V160" s="29" t="n"/>
      <c r="W160" s="30" t="n"/>
    </row>
    <row r="161">
      <c r="A161" s="29" t="n"/>
      <c r="B161" s="29" t="n"/>
      <c r="C161" s="30" t="n"/>
      <c r="D161" s="30" t="n"/>
      <c r="E161" s="29" t="n"/>
      <c r="F161" s="29" t="n"/>
      <c r="G161" s="31" t="n"/>
      <c r="H161" s="32" t="n"/>
      <c r="I161" s="29" t="n"/>
      <c r="J161" s="33">
        <f>IF(H161="",0,IFERROR(H161*INDEX(FX_Rate,MATCH(IF(I161="","GBP",I161),FX_Code,0)),0))</f>
        <v/>
      </c>
      <c r="K161" s="33">
        <f>IF(ISNUMBER(G161),G161*J161,0)</f>
        <v/>
      </c>
      <c r="L161" s="34" t="n"/>
      <c r="M161" s="35" t="n"/>
      <c r="N161" s="36" t="n"/>
      <c r="O161" s="37" t="n"/>
      <c r="P161" s="37" t="n"/>
      <c r="Q161" s="38">
        <f>IF(OR(N161="",M161=""),"",INT(N161-IF(O161="",DefaultBuffer,O161)-M161*7-IF(P161="",DefaultApproval,P161)))</f>
        <v/>
      </c>
      <c r="R161" s="39">
        <f>IF(Q161="","",Q161-TODAY())</f>
        <v/>
      </c>
      <c r="S161" s="40">
        <f>IF(C161="","",IF(OR(T161="On hold",T161="Out of stock"),"Blocked",IF(ISNUMBER(MATCH(T161,OrderedStatuses,0)),"OK",IF(Q161="","Needs dates",IF(R161&lt;0,"Late",IF(R161&lt;=NudgeDays,"At risk","OK"))))))</f>
        <v/>
      </c>
      <c r="T161" s="29" t="n"/>
      <c r="U161" s="36" t="n"/>
      <c r="V161" s="29" t="n"/>
      <c r="W161" s="30" t="n"/>
    </row>
    <row r="162">
      <c r="A162" s="29" t="n"/>
      <c r="B162" s="29" t="n"/>
      <c r="C162" s="30" t="n"/>
      <c r="D162" s="30" t="n"/>
      <c r="E162" s="29" t="n"/>
      <c r="F162" s="29" t="n"/>
      <c r="G162" s="31" t="n"/>
      <c r="H162" s="32" t="n"/>
      <c r="I162" s="29" t="n"/>
      <c r="J162" s="33">
        <f>IF(H162="",0,IFERROR(H162*INDEX(FX_Rate,MATCH(IF(I162="","GBP",I162),FX_Code,0)),0))</f>
        <v/>
      </c>
      <c r="K162" s="33">
        <f>IF(ISNUMBER(G162),G162*J162,0)</f>
        <v/>
      </c>
      <c r="L162" s="34" t="n"/>
      <c r="M162" s="35" t="n"/>
      <c r="N162" s="36" t="n"/>
      <c r="O162" s="37" t="n"/>
      <c r="P162" s="37" t="n"/>
      <c r="Q162" s="38">
        <f>IF(OR(N162="",M162=""),"",INT(N162-IF(O162="",DefaultBuffer,O162)-M162*7-IF(P162="",DefaultApproval,P162)))</f>
        <v/>
      </c>
      <c r="R162" s="39">
        <f>IF(Q162="","",Q162-TODAY())</f>
        <v/>
      </c>
      <c r="S162" s="40">
        <f>IF(C162="","",IF(OR(T162="On hold",T162="Out of stock"),"Blocked",IF(ISNUMBER(MATCH(T162,OrderedStatuses,0)),"OK",IF(Q162="","Needs dates",IF(R162&lt;0,"Late",IF(R162&lt;=NudgeDays,"At risk","OK"))))))</f>
        <v/>
      </c>
      <c r="T162" s="29" t="n"/>
      <c r="U162" s="36" t="n"/>
      <c r="V162" s="29" t="n"/>
      <c r="W162" s="30" t="n"/>
    </row>
    <row r="163">
      <c r="A163" s="29" t="n"/>
      <c r="B163" s="29" t="n"/>
      <c r="C163" s="30" t="n"/>
      <c r="D163" s="30" t="n"/>
      <c r="E163" s="29" t="n"/>
      <c r="F163" s="29" t="n"/>
      <c r="G163" s="31" t="n"/>
      <c r="H163" s="32" t="n"/>
      <c r="I163" s="29" t="n"/>
      <c r="J163" s="33">
        <f>IF(H163="",0,IFERROR(H163*INDEX(FX_Rate,MATCH(IF(I163="","GBP",I163),FX_Code,0)),0))</f>
        <v/>
      </c>
      <c r="K163" s="33">
        <f>IF(ISNUMBER(G163),G163*J163,0)</f>
        <v/>
      </c>
      <c r="L163" s="34" t="n"/>
      <c r="M163" s="35" t="n"/>
      <c r="N163" s="36" t="n"/>
      <c r="O163" s="37" t="n"/>
      <c r="P163" s="37" t="n"/>
      <c r="Q163" s="38">
        <f>IF(OR(N163="",M163=""),"",INT(N163-IF(O163="",DefaultBuffer,O163)-M163*7-IF(P163="",DefaultApproval,P163)))</f>
        <v/>
      </c>
      <c r="R163" s="39">
        <f>IF(Q163="","",Q163-TODAY())</f>
        <v/>
      </c>
      <c r="S163" s="40">
        <f>IF(C163="","",IF(OR(T163="On hold",T163="Out of stock"),"Blocked",IF(ISNUMBER(MATCH(T163,OrderedStatuses,0)),"OK",IF(Q163="","Needs dates",IF(R163&lt;0,"Late",IF(R163&lt;=NudgeDays,"At risk","OK"))))))</f>
        <v/>
      </c>
      <c r="T163" s="29" t="n"/>
      <c r="U163" s="36" t="n"/>
      <c r="V163" s="29" t="n"/>
      <c r="W163" s="30" t="n"/>
    </row>
    <row r="164">
      <c r="A164" s="29" t="n"/>
      <c r="B164" s="29" t="n"/>
      <c r="C164" s="30" t="n"/>
      <c r="D164" s="30" t="n"/>
      <c r="E164" s="29" t="n"/>
      <c r="F164" s="29" t="n"/>
      <c r="G164" s="31" t="n"/>
      <c r="H164" s="32" t="n"/>
      <c r="I164" s="29" t="n"/>
      <c r="J164" s="33">
        <f>IF(H164="",0,IFERROR(H164*INDEX(FX_Rate,MATCH(IF(I164="","GBP",I164),FX_Code,0)),0))</f>
        <v/>
      </c>
      <c r="K164" s="33">
        <f>IF(ISNUMBER(G164),G164*J164,0)</f>
        <v/>
      </c>
      <c r="L164" s="34" t="n"/>
      <c r="M164" s="35" t="n"/>
      <c r="N164" s="36" t="n"/>
      <c r="O164" s="37" t="n"/>
      <c r="P164" s="37" t="n"/>
      <c r="Q164" s="38">
        <f>IF(OR(N164="",M164=""),"",INT(N164-IF(O164="",DefaultBuffer,O164)-M164*7-IF(P164="",DefaultApproval,P164)))</f>
        <v/>
      </c>
      <c r="R164" s="39">
        <f>IF(Q164="","",Q164-TODAY())</f>
        <v/>
      </c>
      <c r="S164" s="40">
        <f>IF(C164="","",IF(OR(T164="On hold",T164="Out of stock"),"Blocked",IF(ISNUMBER(MATCH(T164,OrderedStatuses,0)),"OK",IF(Q164="","Needs dates",IF(R164&lt;0,"Late",IF(R164&lt;=NudgeDays,"At risk","OK"))))))</f>
        <v/>
      </c>
      <c r="T164" s="29" t="n"/>
      <c r="U164" s="36" t="n"/>
      <c r="V164" s="29" t="n"/>
      <c r="W164" s="30" t="n"/>
    </row>
    <row r="165">
      <c r="A165" s="29" t="n"/>
      <c r="B165" s="29" t="n"/>
      <c r="C165" s="30" t="n"/>
      <c r="D165" s="30" t="n"/>
      <c r="E165" s="29" t="n"/>
      <c r="F165" s="29" t="n"/>
      <c r="G165" s="31" t="n"/>
      <c r="H165" s="32" t="n"/>
      <c r="I165" s="29" t="n"/>
      <c r="J165" s="33">
        <f>IF(H165="",0,IFERROR(H165*INDEX(FX_Rate,MATCH(IF(I165="","GBP",I165),FX_Code,0)),0))</f>
        <v/>
      </c>
      <c r="K165" s="33">
        <f>IF(ISNUMBER(G165),G165*J165,0)</f>
        <v/>
      </c>
      <c r="L165" s="34" t="n"/>
      <c r="M165" s="35" t="n"/>
      <c r="N165" s="36" t="n"/>
      <c r="O165" s="37" t="n"/>
      <c r="P165" s="37" t="n"/>
      <c r="Q165" s="38">
        <f>IF(OR(N165="",M165=""),"",INT(N165-IF(O165="",DefaultBuffer,O165)-M165*7-IF(P165="",DefaultApproval,P165)))</f>
        <v/>
      </c>
      <c r="R165" s="39">
        <f>IF(Q165="","",Q165-TODAY())</f>
        <v/>
      </c>
      <c r="S165" s="40">
        <f>IF(C165="","",IF(OR(T165="On hold",T165="Out of stock"),"Blocked",IF(ISNUMBER(MATCH(T165,OrderedStatuses,0)),"OK",IF(Q165="","Needs dates",IF(R165&lt;0,"Late",IF(R165&lt;=NudgeDays,"At risk","OK"))))))</f>
        <v/>
      </c>
      <c r="T165" s="29" t="n"/>
      <c r="U165" s="36" t="n"/>
      <c r="V165" s="29" t="n"/>
      <c r="W165" s="30" t="n"/>
    </row>
    <row r="166">
      <c r="A166" s="29" t="n"/>
      <c r="B166" s="29" t="n"/>
      <c r="C166" s="30" t="n"/>
      <c r="D166" s="30" t="n"/>
      <c r="E166" s="29" t="n"/>
      <c r="F166" s="29" t="n"/>
      <c r="G166" s="31" t="n"/>
      <c r="H166" s="32" t="n"/>
      <c r="I166" s="29" t="n"/>
      <c r="J166" s="33">
        <f>IF(H166="",0,IFERROR(H166*INDEX(FX_Rate,MATCH(IF(I166="","GBP",I166),FX_Code,0)),0))</f>
        <v/>
      </c>
      <c r="K166" s="33">
        <f>IF(ISNUMBER(G166),G166*J166,0)</f>
        <v/>
      </c>
      <c r="L166" s="34" t="n"/>
      <c r="M166" s="35" t="n"/>
      <c r="N166" s="36" t="n"/>
      <c r="O166" s="37" t="n"/>
      <c r="P166" s="37" t="n"/>
      <c r="Q166" s="38">
        <f>IF(OR(N166="",M166=""),"",INT(N166-IF(O166="",DefaultBuffer,O166)-M166*7-IF(P166="",DefaultApproval,P166)))</f>
        <v/>
      </c>
      <c r="R166" s="39">
        <f>IF(Q166="","",Q166-TODAY())</f>
        <v/>
      </c>
      <c r="S166" s="40">
        <f>IF(C166="","",IF(OR(T166="On hold",T166="Out of stock"),"Blocked",IF(ISNUMBER(MATCH(T166,OrderedStatuses,0)),"OK",IF(Q166="","Needs dates",IF(R166&lt;0,"Late",IF(R166&lt;=NudgeDays,"At risk","OK"))))))</f>
        <v/>
      </c>
      <c r="T166" s="29" t="n"/>
      <c r="U166" s="36" t="n"/>
      <c r="V166" s="29" t="n"/>
      <c r="W166" s="30" t="n"/>
    </row>
    <row r="167">
      <c r="A167" s="29" t="n"/>
      <c r="B167" s="29" t="n"/>
      <c r="C167" s="30" t="n"/>
      <c r="D167" s="30" t="n"/>
      <c r="E167" s="29" t="n"/>
      <c r="F167" s="29" t="n"/>
      <c r="G167" s="31" t="n"/>
      <c r="H167" s="32" t="n"/>
      <c r="I167" s="29" t="n"/>
      <c r="J167" s="33">
        <f>IF(H167="",0,IFERROR(H167*INDEX(FX_Rate,MATCH(IF(I167="","GBP",I167),FX_Code,0)),0))</f>
        <v/>
      </c>
      <c r="K167" s="33">
        <f>IF(ISNUMBER(G167),G167*J167,0)</f>
        <v/>
      </c>
      <c r="L167" s="34" t="n"/>
      <c r="M167" s="35" t="n"/>
      <c r="N167" s="36" t="n"/>
      <c r="O167" s="37" t="n"/>
      <c r="P167" s="37" t="n"/>
      <c r="Q167" s="38">
        <f>IF(OR(N167="",M167=""),"",INT(N167-IF(O167="",DefaultBuffer,O167)-M167*7-IF(P167="",DefaultApproval,P167)))</f>
        <v/>
      </c>
      <c r="R167" s="39">
        <f>IF(Q167="","",Q167-TODAY())</f>
        <v/>
      </c>
      <c r="S167" s="40">
        <f>IF(C167="","",IF(OR(T167="On hold",T167="Out of stock"),"Blocked",IF(ISNUMBER(MATCH(T167,OrderedStatuses,0)),"OK",IF(Q167="","Needs dates",IF(R167&lt;0,"Late",IF(R167&lt;=NudgeDays,"At risk","OK"))))))</f>
        <v/>
      </c>
      <c r="T167" s="29" t="n"/>
      <c r="U167" s="36" t="n"/>
      <c r="V167" s="29" t="n"/>
      <c r="W167" s="30" t="n"/>
    </row>
    <row r="168">
      <c r="A168" s="29" t="n"/>
      <c r="B168" s="29" t="n"/>
      <c r="C168" s="30" t="n"/>
      <c r="D168" s="30" t="n"/>
      <c r="E168" s="29" t="n"/>
      <c r="F168" s="29" t="n"/>
      <c r="G168" s="31" t="n"/>
      <c r="H168" s="32" t="n"/>
      <c r="I168" s="29" t="n"/>
      <c r="J168" s="33">
        <f>IF(H168="",0,IFERROR(H168*INDEX(FX_Rate,MATCH(IF(I168="","GBP",I168),FX_Code,0)),0))</f>
        <v/>
      </c>
      <c r="K168" s="33">
        <f>IF(ISNUMBER(G168),G168*J168,0)</f>
        <v/>
      </c>
      <c r="L168" s="34" t="n"/>
      <c r="M168" s="35" t="n"/>
      <c r="N168" s="36" t="n"/>
      <c r="O168" s="37" t="n"/>
      <c r="P168" s="37" t="n"/>
      <c r="Q168" s="38">
        <f>IF(OR(N168="",M168=""),"",INT(N168-IF(O168="",DefaultBuffer,O168)-M168*7-IF(P168="",DefaultApproval,P168)))</f>
        <v/>
      </c>
      <c r="R168" s="39">
        <f>IF(Q168="","",Q168-TODAY())</f>
        <v/>
      </c>
      <c r="S168" s="40">
        <f>IF(C168="","",IF(OR(T168="On hold",T168="Out of stock"),"Blocked",IF(ISNUMBER(MATCH(T168,OrderedStatuses,0)),"OK",IF(Q168="","Needs dates",IF(R168&lt;0,"Late",IF(R168&lt;=NudgeDays,"At risk","OK"))))))</f>
        <v/>
      </c>
      <c r="T168" s="29" t="n"/>
      <c r="U168" s="36" t="n"/>
      <c r="V168" s="29" t="n"/>
      <c r="W168" s="30" t="n"/>
    </row>
    <row r="169">
      <c r="A169" s="29" t="n"/>
      <c r="B169" s="29" t="n"/>
      <c r="C169" s="30" t="n"/>
      <c r="D169" s="30" t="n"/>
      <c r="E169" s="29" t="n"/>
      <c r="F169" s="29" t="n"/>
      <c r="G169" s="31" t="n"/>
      <c r="H169" s="32" t="n"/>
      <c r="I169" s="29" t="n"/>
      <c r="J169" s="33">
        <f>IF(H169="",0,IFERROR(H169*INDEX(FX_Rate,MATCH(IF(I169="","GBP",I169),FX_Code,0)),0))</f>
        <v/>
      </c>
      <c r="K169" s="33">
        <f>IF(ISNUMBER(G169),G169*J169,0)</f>
        <v/>
      </c>
      <c r="L169" s="34" t="n"/>
      <c r="M169" s="35" t="n"/>
      <c r="N169" s="36" t="n"/>
      <c r="O169" s="37" t="n"/>
      <c r="P169" s="37" t="n"/>
      <c r="Q169" s="38">
        <f>IF(OR(N169="",M169=""),"",INT(N169-IF(O169="",DefaultBuffer,O169)-M169*7-IF(P169="",DefaultApproval,P169)))</f>
        <v/>
      </c>
      <c r="R169" s="39">
        <f>IF(Q169="","",Q169-TODAY())</f>
        <v/>
      </c>
      <c r="S169" s="40">
        <f>IF(C169="","",IF(OR(T169="On hold",T169="Out of stock"),"Blocked",IF(ISNUMBER(MATCH(T169,OrderedStatuses,0)),"OK",IF(Q169="","Needs dates",IF(R169&lt;0,"Late",IF(R169&lt;=NudgeDays,"At risk","OK"))))))</f>
        <v/>
      </c>
      <c r="T169" s="29" t="n"/>
      <c r="U169" s="36" t="n"/>
      <c r="V169" s="29" t="n"/>
      <c r="W169" s="30" t="n"/>
    </row>
    <row r="170">
      <c r="A170" s="29" t="n"/>
      <c r="B170" s="29" t="n"/>
      <c r="C170" s="30" t="n"/>
      <c r="D170" s="30" t="n"/>
      <c r="E170" s="29" t="n"/>
      <c r="F170" s="29" t="n"/>
      <c r="G170" s="31" t="n"/>
      <c r="H170" s="32" t="n"/>
      <c r="I170" s="29" t="n"/>
      <c r="J170" s="33">
        <f>IF(H170="",0,IFERROR(H170*INDEX(FX_Rate,MATCH(IF(I170="","GBP",I170),FX_Code,0)),0))</f>
        <v/>
      </c>
      <c r="K170" s="33">
        <f>IF(ISNUMBER(G170),G170*J170,0)</f>
        <v/>
      </c>
      <c r="L170" s="34" t="n"/>
      <c r="M170" s="35" t="n"/>
      <c r="N170" s="36" t="n"/>
      <c r="O170" s="37" t="n"/>
      <c r="P170" s="37" t="n"/>
      <c r="Q170" s="38">
        <f>IF(OR(N170="",M170=""),"",INT(N170-IF(O170="",DefaultBuffer,O170)-M170*7-IF(P170="",DefaultApproval,P170)))</f>
        <v/>
      </c>
      <c r="R170" s="39">
        <f>IF(Q170="","",Q170-TODAY())</f>
        <v/>
      </c>
      <c r="S170" s="40">
        <f>IF(C170="","",IF(OR(T170="On hold",T170="Out of stock"),"Blocked",IF(ISNUMBER(MATCH(T170,OrderedStatuses,0)),"OK",IF(Q170="","Needs dates",IF(R170&lt;0,"Late",IF(R170&lt;=NudgeDays,"At risk","OK"))))))</f>
        <v/>
      </c>
      <c r="T170" s="29" t="n"/>
      <c r="U170" s="36" t="n"/>
      <c r="V170" s="29" t="n"/>
      <c r="W170" s="30" t="n"/>
    </row>
    <row r="171">
      <c r="A171" s="29" t="n"/>
      <c r="B171" s="29" t="n"/>
      <c r="C171" s="30" t="n"/>
      <c r="D171" s="30" t="n"/>
      <c r="E171" s="29" t="n"/>
      <c r="F171" s="29" t="n"/>
      <c r="G171" s="31" t="n"/>
      <c r="H171" s="32" t="n"/>
      <c r="I171" s="29" t="n"/>
      <c r="J171" s="33">
        <f>IF(H171="",0,IFERROR(H171*INDEX(FX_Rate,MATCH(IF(I171="","GBP",I171),FX_Code,0)),0))</f>
        <v/>
      </c>
      <c r="K171" s="33">
        <f>IF(ISNUMBER(G171),G171*J171,0)</f>
        <v/>
      </c>
      <c r="L171" s="34" t="n"/>
      <c r="M171" s="35" t="n"/>
      <c r="N171" s="36" t="n"/>
      <c r="O171" s="37" t="n"/>
      <c r="P171" s="37" t="n"/>
      <c r="Q171" s="38">
        <f>IF(OR(N171="",M171=""),"",INT(N171-IF(O171="",DefaultBuffer,O171)-M171*7-IF(P171="",DefaultApproval,P171)))</f>
        <v/>
      </c>
      <c r="R171" s="39">
        <f>IF(Q171="","",Q171-TODAY())</f>
        <v/>
      </c>
      <c r="S171" s="40">
        <f>IF(C171="","",IF(OR(T171="On hold",T171="Out of stock"),"Blocked",IF(ISNUMBER(MATCH(T171,OrderedStatuses,0)),"OK",IF(Q171="","Needs dates",IF(R171&lt;0,"Late",IF(R171&lt;=NudgeDays,"At risk","OK"))))))</f>
        <v/>
      </c>
      <c r="T171" s="29" t="n"/>
      <c r="U171" s="36" t="n"/>
      <c r="V171" s="29" t="n"/>
      <c r="W171" s="30" t="n"/>
    </row>
    <row r="172">
      <c r="A172" s="29" t="n"/>
      <c r="B172" s="29" t="n"/>
      <c r="C172" s="30" t="n"/>
      <c r="D172" s="30" t="n"/>
      <c r="E172" s="29" t="n"/>
      <c r="F172" s="29" t="n"/>
      <c r="G172" s="31" t="n"/>
      <c r="H172" s="32" t="n"/>
      <c r="I172" s="29" t="n"/>
      <c r="J172" s="33">
        <f>IF(H172="",0,IFERROR(H172*INDEX(FX_Rate,MATCH(IF(I172="","GBP",I172),FX_Code,0)),0))</f>
        <v/>
      </c>
      <c r="K172" s="33">
        <f>IF(ISNUMBER(G172),G172*J172,0)</f>
        <v/>
      </c>
      <c r="L172" s="34" t="n"/>
      <c r="M172" s="35" t="n"/>
      <c r="N172" s="36" t="n"/>
      <c r="O172" s="37" t="n"/>
      <c r="P172" s="37" t="n"/>
      <c r="Q172" s="38">
        <f>IF(OR(N172="",M172=""),"",INT(N172-IF(O172="",DefaultBuffer,O172)-M172*7-IF(P172="",DefaultApproval,P172)))</f>
        <v/>
      </c>
      <c r="R172" s="39">
        <f>IF(Q172="","",Q172-TODAY())</f>
        <v/>
      </c>
      <c r="S172" s="40">
        <f>IF(C172="","",IF(OR(T172="On hold",T172="Out of stock"),"Blocked",IF(ISNUMBER(MATCH(T172,OrderedStatuses,0)),"OK",IF(Q172="","Needs dates",IF(R172&lt;0,"Late",IF(R172&lt;=NudgeDays,"At risk","OK"))))))</f>
        <v/>
      </c>
      <c r="T172" s="29" t="n"/>
      <c r="U172" s="36" t="n"/>
      <c r="V172" s="29" t="n"/>
      <c r="W172" s="30" t="n"/>
    </row>
    <row r="173">
      <c r="A173" s="29" t="n"/>
      <c r="B173" s="29" t="n"/>
      <c r="C173" s="30" t="n"/>
      <c r="D173" s="30" t="n"/>
      <c r="E173" s="29" t="n"/>
      <c r="F173" s="29" t="n"/>
      <c r="G173" s="31" t="n"/>
      <c r="H173" s="32" t="n"/>
      <c r="I173" s="29" t="n"/>
      <c r="J173" s="33">
        <f>IF(H173="",0,IFERROR(H173*INDEX(FX_Rate,MATCH(IF(I173="","GBP",I173),FX_Code,0)),0))</f>
        <v/>
      </c>
      <c r="K173" s="33">
        <f>IF(ISNUMBER(G173),G173*J173,0)</f>
        <v/>
      </c>
      <c r="L173" s="34" t="n"/>
      <c r="M173" s="35" t="n"/>
      <c r="N173" s="36" t="n"/>
      <c r="O173" s="37" t="n"/>
      <c r="P173" s="37" t="n"/>
      <c r="Q173" s="38">
        <f>IF(OR(N173="",M173=""),"",INT(N173-IF(O173="",DefaultBuffer,O173)-M173*7-IF(P173="",DefaultApproval,P173)))</f>
        <v/>
      </c>
      <c r="R173" s="39">
        <f>IF(Q173="","",Q173-TODAY())</f>
        <v/>
      </c>
      <c r="S173" s="40">
        <f>IF(C173="","",IF(OR(T173="On hold",T173="Out of stock"),"Blocked",IF(ISNUMBER(MATCH(T173,OrderedStatuses,0)),"OK",IF(Q173="","Needs dates",IF(R173&lt;0,"Late",IF(R173&lt;=NudgeDays,"At risk","OK"))))))</f>
        <v/>
      </c>
      <c r="T173" s="29" t="n"/>
      <c r="U173" s="36" t="n"/>
      <c r="V173" s="29" t="n"/>
      <c r="W173" s="30" t="n"/>
    </row>
    <row r="174">
      <c r="A174" s="29" t="n"/>
      <c r="B174" s="29" t="n"/>
      <c r="C174" s="30" t="n"/>
      <c r="D174" s="30" t="n"/>
      <c r="E174" s="29" t="n"/>
      <c r="F174" s="29" t="n"/>
      <c r="G174" s="31" t="n"/>
      <c r="H174" s="32" t="n"/>
      <c r="I174" s="29" t="n"/>
      <c r="J174" s="33">
        <f>IF(H174="",0,IFERROR(H174*INDEX(FX_Rate,MATCH(IF(I174="","GBP",I174),FX_Code,0)),0))</f>
        <v/>
      </c>
      <c r="K174" s="33">
        <f>IF(ISNUMBER(G174),G174*J174,0)</f>
        <v/>
      </c>
      <c r="L174" s="34" t="n"/>
      <c r="M174" s="35" t="n"/>
      <c r="N174" s="36" t="n"/>
      <c r="O174" s="37" t="n"/>
      <c r="P174" s="37" t="n"/>
      <c r="Q174" s="38">
        <f>IF(OR(N174="",M174=""),"",INT(N174-IF(O174="",DefaultBuffer,O174)-M174*7-IF(P174="",DefaultApproval,P174)))</f>
        <v/>
      </c>
      <c r="R174" s="39">
        <f>IF(Q174="","",Q174-TODAY())</f>
        <v/>
      </c>
      <c r="S174" s="40">
        <f>IF(C174="","",IF(OR(T174="On hold",T174="Out of stock"),"Blocked",IF(ISNUMBER(MATCH(T174,OrderedStatuses,0)),"OK",IF(Q174="","Needs dates",IF(R174&lt;0,"Late",IF(R174&lt;=NudgeDays,"At risk","OK"))))))</f>
        <v/>
      </c>
      <c r="T174" s="29" t="n"/>
      <c r="U174" s="36" t="n"/>
      <c r="V174" s="29" t="n"/>
      <c r="W174" s="30" t="n"/>
    </row>
    <row r="175">
      <c r="A175" s="29" t="n"/>
      <c r="B175" s="29" t="n"/>
      <c r="C175" s="30" t="n"/>
      <c r="D175" s="30" t="n"/>
      <c r="E175" s="29" t="n"/>
      <c r="F175" s="29" t="n"/>
      <c r="G175" s="31" t="n"/>
      <c r="H175" s="32" t="n"/>
      <c r="I175" s="29" t="n"/>
      <c r="J175" s="33">
        <f>IF(H175="",0,IFERROR(H175*INDEX(FX_Rate,MATCH(IF(I175="","GBP",I175),FX_Code,0)),0))</f>
        <v/>
      </c>
      <c r="K175" s="33">
        <f>IF(ISNUMBER(G175),G175*J175,0)</f>
        <v/>
      </c>
      <c r="L175" s="34" t="n"/>
      <c r="M175" s="35" t="n"/>
      <c r="N175" s="36" t="n"/>
      <c r="O175" s="37" t="n"/>
      <c r="P175" s="37" t="n"/>
      <c r="Q175" s="38">
        <f>IF(OR(N175="",M175=""),"",INT(N175-IF(O175="",DefaultBuffer,O175)-M175*7-IF(P175="",DefaultApproval,P175)))</f>
        <v/>
      </c>
      <c r="R175" s="39">
        <f>IF(Q175="","",Q175-TODAY())</f>
        <v/>
      </c>
      <c r="S175" s="40">
        <f>IF(C175="","",IF(OR(T175="On hold",T175="Out of stock"),"Blocked",IF(ISNUMBER(MATCH(T175,OrderedStatuses,0)),"OK",IF(Q175="","Needs dates",IF(R175&lt;0,"Late",IF(R175&lt;=NudgeDays,"At risk","OK"))))))</f>
        <v/>
      </c>
      <c r="T175" s="29" t="n"/>
      <c r="U175" s="36" t="n"/>
      <c r="V175" s="29" t="n"/>
      <c r="W175" s="30" t="n"/>
    </row>
    <row r="176">
      <c r="A176" s="29" t="n"/>
      <c r="B176" s="29" t="n"/>
      <c r="C176" s="30" t="n"/>
      <c r="D176" s="30" t="n"/>
      <c r="E176" s="29" t="n"/>
      <c r="F176" s="29" t="n"/>
      <c r="G176" s="31" t="n"/>
      <c r="H176" s="32" t="n"/>
      <c r="I176" s="29" t="n"/>
      <c r="J176" s="33">
        <f>IF(H176="",0,IFERROR(H176*INDEX(FX_Rate,MATCH(IF(I176="","GBP",I176),FX_Code,0)),0))</f>
        <v/>
      </c>
      <c r="K176" s="33">
        <f>IF(ISNUMBER(G176),G176*J176,0)</f>
        <v/>
      </c>
      <c r="L176" s="34" t="n"/>
      <c r="M176" s="35" t="n"/>
      <c r="N176" s="36" t="n"/>
      <c r="O176" s="37" t="n"/>
      <c r="P176" s="37" t="n"/>
      <c r="Q176" s="38">
        <f>IF(OR(N176="",M176=""),"",INT(N176-IF(O176="",DefaultBuffer,O176)-M176*7-IF(P176="",DefaultApproval,P176)))</f>
        <v/>
      </c>
      <c r="R176" s="39">
        <f>IF(Q176="","",Q176-TODAY())</f>
        <v/>
      </c>
      <c r="S176" s="40">
        <f>IF(C176="","",IF(OR(T176="On hold",T176="Out of stock"),"Blocked",IF(ISNUMBER(MATCH(T176,OrderedStatuses,0)),"OK",IF(Q176="","Needs dates",IF(R176&lt;0,"Late",IF(R176&lt;=NudgeDays,"At risk","OK"))))))</f>
        <v/>
      </c>
      <c r="T176" s="29" t="n"/>
      <c r="U176" s="36" t="n"/>
      <c r="V176" s="29" t="n"/>
      <c r="W176" s="30" t="n"/>
    </row>
    <row r="177">
      <c r="A177" s="29" t="n"/>
      <c r="B177" s="29" t="n"/>
      <c r="C177" s="30" t="n"/>
      <c r="D177" s="30" t="n"/>
      <c r="E177" s="29" t="n"/>
      <c r="F177" s="29" t="n"/>
      <c r="G177" s="31" t="n"/>
      <c r="H177" s="32" t="n"/>
      <c r="I177" s="29" t="n"/>
      <c r="J177" s="33">
        <f>IF(H177="",0,IFERROR(H177*INDEX(FX_Rate,MATCH(IF(I177="","GBP",I177),FX_Code,0)),0))</f>
        <v/>
      </c>
      <c r="K177" s="33">
        <f>IF(ISNUMBER(G177),G177*J177,0)</f>
        <v/>
      </c>
      <c r="L177" s="34" t="n"/>
      <c r="M177" s="35" t="n"/>
      <c r="N177" s="36" t="n"/>
      <c r="O177" s="37" t="n"/>
      <c r="P177" s="37" t="n"/>
      <c r="Q177" s="38">
        <f>IF(OR(N177="",M177=""),"",INT(N177-IF(O177="",DefaultBuffer,O177)-M177*7-IF(P177="",DefaultApproval,P177)))</f>
        <v/>
      </c>
      <c r="R177" s="39">
        <f>IF(Q177="","",Q177-TODAY())</f>
        <v/>
      </c>
      <c r="S177" s="40">
        <f>IF(C177="","",IF(OR(T177="On hold",T177="Out of stock"),"Blocked",IF(ISNUMBER(MATCH(T177,OrderedStatuses,0)),"OK",IF(Q177="","Needs dates",IF(R177&lt;0,"Late",IF(R177&lt;=NudgeDays,"At risk","OK"))))))</f>
        <v/>
      </c>
      <c r="T177" s="29" t="n"/>
      <c r="U177" s="36" t="n"/>
      <c r="V177" s="29" t="n"/>
      <c r="W177" s="30" t="n"/>
    </row>
    <row r="178">
      <c r="A178" s="29" t="n"/>
      <c r="B178" s="29" t="n"/>
      <c r="C178" s="30" t="n"/>
      <c r="D178" s="30" t="n"/>
      <c r="E178" s="29" t="n"/>
      <c r="F178" s="29" t="n"/>
      <c r="G178" s="31" t="n"/>
      <c r="H178" s="32" t="n"/>
      <c r="I178" s="29" t="n"/>
      <c r="J178" s="33">
        <f>IF(H178="",0,IFERROR(H178*INDEX(FX_Rate,MATCH(IF(I178="","GBP",I178),FX_Code,0)),0))</f>
        <v/>
      </c>
      <c r="K178" s="33">
        <f>IF(ISNUMBER(G178),G178*J178,0)</f>
        <v/>
      </c>
      <c r="L178" s="34" t="n"/>
      <c r="M178" s="35" t="n"/>
      <c r="N178" s="36" t="n"/>
      <c r="O178" s="37" t="n"/>
      <c r="P178" s="37" t="n"/>
      <c r="Q178" s="38">
        <f>IF(OR(N178="",M178=""),"",INT(N178-IF(O178="",DefaultBuffer,O178)-M178*7-IF(P178="",DefaultApproval,P178)))</f>
        <v/>
      </c>
      <c r="R178" s="39">
        <f>IF(Q178="","",Q178-TODAY())</f>
        <v/>
      </c>
      <c r="S178" s="40">
        <f>IF(C178="","",IF(OR(T178="On hold",T178="Out of stock"),"Blocked",IF(ISNUMBER(MATCH(T178,OrderedStatuses,0)),"OK",IF(Q178="","Needs dates",IF(R178&lt;0,"Late",IF(R178&lt;=NudgeDays,"At risk","OK"))))))</f>
        <v/>
      </c>
      <c r="T178" s="29" t="n"/>
      <c r="U178" s="36" t="n"/>
      <c r="V178" s="29" t="n"/>
      <c r="W178" s="30" t="n"/>
    </row>
    <row r="179">
      <c r="A179" s="29" t="n"/>
      <c r="B179" s="29" t="n"/>
      <c r="C179" s="30" t="n"/>
      <c r="D179" s="30" t="n"/>
      <c r="E179" s="29" t="n"/>
      <c r="F179" s="29" t="n"/>
      <c r="G179" s="31" t="n"/>
      <c r="H179" s="32" t="n"/>
      <c r="I179" s="29" t="n"/>
      <c r="J179" s="33">
        <f>IF(H179="",0,IFERROR(H179*INDEX(FX_Rate,MATCH(IF(I179="","GBP",I179),FX_Code,0)),0))</f>
        <v/>
      </c>
      <c r="K179" s="33">
        <f>IF(ISNUMBER(G179),G179*J179,0)</f>
        <v/>
      </c>
      <c r="L179" s="34" t="n"/>
      <c r="M179" s="35" t="n"/>
      <c r="N179" s="36" t="n"/>
      <c r="O179" s="37" t="n"/>
      <c r="P179" s="37" t="n"/>
      <c r="Q179" s="38">
        <f>IF(OR(N179="",M179=""),"",INT(N179-IF(O179="",DefaultBuffer,O179)-M179*7-IF(P179="",DefaultApproval,P179)))</f>
        <v/>
      </c>
      <c r="R179" s="39">
        <f>IF(Q179="","",Q179-TODAY())</f>
        <v/>
      </c>
      <c r="S179" s="40">
        <f>IF(C179="","",IF(OR(T179="On hold",T179="Out of stock"),"Blocked",IF(ISNUMBER(MATCH(T179,OrderedStatuses,0)),"OK",IF(Q179="","Needs dates",IF(R179&lt;0,"Late",IF(R179&lt;=NudgeDays,"At risk","OK"))))))</f>
        <v/>
      </c>
      <c r="T179" s="29" t="n"/>
      <c r="U179" s="36" t="n"/>
      <c r="V179" s="29" t="n"/>
      <c r="W179" s="30" t="n"/>
    </row>
    <row r="180">
      <c r="A180" s="29" t="n"/>
      <c r="B180" s="29" t="n"/>
      <c r="C180" s="30" t="n"/>
      <c r="D180" s="30" t="n"/>
      <c r="E180" s="29" t="n"/>
      <c r="F180" s="29" t="n"/>
      <c r="G180" s="31" t="n"/>
      <c r="H180" s="32" t="n"/>
      <c r="I180" s="29" t="n"/>
      <c r="J180" s="33">
        <f>IF(H180="",0,IFERROR(H180*INDEX(FX_Rate,MATCH(IF(I180="","GBP",I180),FX_Code,0)),0))</f>
        <v/>
      </c>
      <c r="K180" s="33">
        <f>IF(ISNUMBER(G180),G180*J180,0)</f>
        <v/>
      </c>
      <c r="L180" s="34" t="n"/>
      <c r="M180" s="35" t="n"/>
      <c r="N180" s="36" t="n"/>
      <c r="O180" s="37" t="n"/>
      <c r="P180" s="37" t="n"/>
      <c r="Q180" s="38">
        <f>IF(OR(N180="",M180=""),"",INT(N180-IF(O180="",DefaultBuffer,O180)-M180*7-IF(P180="",DefaultApproval,P180)))</f>
        <v/>
      </c>
      <c r="R180" s="39">
        <f>IF(Q180="","",Q180-TODAY())</f>
        <v/>
      </c>
      <c r="S180" s="40">
        <f>IF(C180="","",IF(OR(T180="On hold",T180="Out of stock"),"Blocked",IF(ISNUMBER(MATCH(T180,OrderedStatuses,0)),"OK",IF(Q180="","Needs dates",IF(R180&lt;0,"Late",IF(R180&lt;=NudgeDays,"At risk","OK"))))))</f>
        <v/>
      </c>
      <c r="T180" s="29" t="n"/>
      <c r="U180" s="36" t="n"/>
      <c r="V180" s="29" t="n"/>
      <c r="W180" s="30" t="n"/>
    </row>
    <row r="181">
      <c r="A181" s="29" t="n"/>
      <c r="B181" s="29" t="n"/>
      <c r="C181" s="30" t="n"/>
      <c r="D181" s="30" t="n"/>
      <c r="E181" s="29" t="n"/>
      <c r="F181" s="29" t="n"/>
      <c r="G181" s="31" t="n"/>
      <c r="H181" s="32" t="n"/>
      <c r="I181" s="29" t="n"/>
      <c r="J181" s="33">
        <f>IF(H181="",0,IFERROR(H181*INDEX(FX_Rate,MATCH(IF(I181="","GBP",I181),FX_Code,0)),0))</f>
        <v/>
      </c>
      <c r="K181" s="33">
        <f>IF(ISNUMBER(G181),G181*J181,0)</f>
        <v/>
      </c>
      <c r="L181" s="34" t="n"/>
      <c r="M181" s="35" t="n"/>
      <c r="N181" s="36" t="n"/>
      <c r="O181" s="37" t="n"/>
      <c r="P181" s="37" t="n"/>
      <c r="Q181" s="38">
        <f>IF(OR(N181="",M181=""),"",INT(N181-IF(O181="",DefaultBuffer,O181)-M181*7-IF(P181="",DefaultApproval,P181)))</f>
        <v/>
      </c>
      <c r="R181" s="39">
        <f>IF(Q181="","",Q181-TODAY())</f>
        <v/>
      </c>
      <c r="S181" s="40">
        <f>IF(C181="","",IF(OR(T181="On hold",T181="Out of stock"),"Blocked",IF(ISNUMBER(MATCH(T181,OrderedStatuses,0)),"OK",IF(Q181="","Needs dates",IF(R181&lt;0,"Late",IF(R181&lt;=NudgeDays,"At risk","OK"))))))</f>
        <v/>
      </c>
      <c r="T181" s="29" t="n"/>
      <c r="U181" s="36" t="n"/>
      <c r="V181" s="29" t="n"/>
      <c r="W181" s="30" t="n"/>
    </row>
    <row r="182">
      <c r="A182" s="29" t="n"/>
      <c r="B182" s="29" t="n"/>
      <c r="C182" s="30" t="n"/>
      <c r="D182" s="30" t="n"/>
      <c r="E182" s="29" t="n"/>
      <c r="F182" s="29" t="n"/>
      <c r="G182" s="31" t="n"/>
      <c r="H182" s="32" t="n"/>
      <c r="I182" s="29" t="n"/>
      <c r="J182" s="33">
        <f>IF(H182="",0,IFERROR(H182*INDEX(FX_Rate,MATCH(IF(I182="","GBP",I182),FX_Code,0)),0))</f>
        <v/>
      </c>
      <c r="K182" s="33">
        <f>IF(ISNUMBER(G182),G182*J182,0)</f>
        <v/>
      </c>
      <c r="L182" s="34" t="n"/>
      <c r="M182" s="35" t="n"/>
      <c r="N182" s="36" t="n"/>
      <c r="O182" s="37" t="n"/>
      <c r="P182" s="37" t="n"/>
      <c r="Q182" s="38">
        <f>IF(OR(N182="",M182=""),"",INT(N182-IF(O182="",DefaultBuffer,O182)-M182*7-IF(P182="",DefaultApproval,P182)))</f>
        <v/>
      </c>
      <c r="R182" s="39">
        <f>IF(Q182="","",Q182-TODAY())</f>
        <v/>
      </c>
      <c r="S182" s="40">
        <f>IF(C182="","",IF(OR(T182="On hold",T182="Out of stock"),"Blocked",IF(ISNUMBER(MATCH(T182,OrderedStatuses,0)),"OK",IF(Q182="","Needs dates",IF(R182&lt;0,"Late",IF(R182&lt;=NudgeDays,"At risk","OK"))))))</f>
        <v/>
      </c>
      <c r="T182" s="29" t="n"/>
      <c r="U182" s="36" t="n"/>
      <c r="V182" s="29" t="n"/>
      <c r="W182" s="30" t="n"/>
    </row>
    <row r="183">
      <c r="A183" s="29" t="n"/>
      <c r="B183" s="29" t="n"/>
      <c r="C183" s="30" t="n"/>
      <c r="D183" s="30" t="n"/>
      <c r="E183" s="29" t="n"/>
      <c r="F183" s="29" t="n"/>
      <c r="G183" s="31" t="n"/>
      <c r="H183" s="32" t="n"/>
      <c r="I183" s="29" t="n"/>
      <c r="J183" s="33">
        <f>IF(H183="",0,IFERROR(H183*INDEX(FX_Rate,MATCH(IF(I183="","GBP",I183),FX_Code,0)),0))</f>
        <v/>
      </c>
      <c r="K183" s="33">
        <f>IF(ISNUMBER(G183),G183*J183,0)</f>
        <v/>
      </c>
      <c r="L183" s="34" t="n"/>
      <c r="M183" s="35" t="n"/>
      <c r="N183" s="36" t="n"/>
      <c r="O183" s="37" t="n"/>
      <c r="P183" s="37" t="n"/>
      <c r="Q183" s="38">
        <f>IF(OR(N183="",M183=""),"",INT(N183-IF(O183="",DefaultBuffer,O183)-M183*7-IF(P183="",DefaultApproval,P183)))</f>
        <v/>
      </c>
      <c r="R183" s="39">
        <f>IF(Q183="","",Q183-TODAY())</f>
        <v/>
      </c>
      <c r="S183" s="40">
        <f>IF(C183="","",IF(OR(T183="On hold",T183="Out of stock"),"Blocked",IF(ISNUMBER(MATCH(T183,OrderedStatuses,0)),"OK",IF(Q183="","Needs dates",IF(R183&lt;0,"Late",IF(R183&lt;=NudgeDays,"At risk","OK"))))))</f>
        <v/>
      </c>
      <c r="T183" s="29" t="n"/>
      <c r="U183" s="36" t="n"/>
      <c r="V183" s="29" t="n"/>
      <c r="W183" s="30" t="n"/>
    </row>
    <row r="184">
      <c r="A184" s="29" t="n"/>
      <c r="B184" s="29" t="n"/>
      <c r="C184" s="30" t="n"/>
      <c r="D184" s="30" t="n"/>
      <c r="E184" s="29" t="n"/>
      <c r="F184" s="29" t="n"/>
      <c r="G184" s="31" t="n"/>
      <c r="H184" s="32" t="n"/>
      <c r="I184" s="29" t="n"/>
      <c r="J184" s="33">
        <f>IF(H184="",0,IFERROR(H184*INDEX(FX_Rate,MATCH(IF(I184="","GBP",I184),FX_Code,0)),0))</f>
        <v/>
      </c>
      <c r="K184" s="33">
        <f>IF(ISNUMBER(G184),G184*J184,0)</f>
        <v/>
      </c>
      <c r="L184" s="34" t="n"/>
      <c r="M184" s="35" t="n"/>
      <c r="N184" s="36" t="n"/>
      <c r="O184" s="37" t="n"/>
      <c r="P184" s="37" t="n"/>
      <c r="Q184" s="38">
        <f>IF(OR(N184="",M184=""),"",INT(N184-IF(O184="",DefaultBuffer,O184)-M184*7-IF(P184="",DefaultApproval,P184)))</f>
        <v/>
      </c>
      <c r="R184" s="39">
        <f>IF(Q184="","",Q184-TODAY())</f>
        <v/>
      </c>
      <c r="S184" s="40">
        <f>IF(C184="","",IF(OR(T184="On hold",T184="Out of stock"),"Blocked",IF(ISNUMBER(MATCH(T184,OrderedStatuses,0)),"OK",IF(Q184="","Needs dates",IF(R184&lt;0,"Late",IF(R184&lt;=NudgeDays,"At risk","OK"))))))</f>
        <v/>
      </c>
      <c r="T184" s="29" t="n"/>
      <c r="U184" s="36" t="n"/>
      <c r="V184" s="29" t="n"/>
      <c r="W184" s="30" t="n"/>
    </row>
    <row r="185">
      <c r="A185" s="29" t="n"/>
      <c r="B185" s="29" t="n"/>
      <c r="C185" s="30" t="n"/>
      <c r="D185" s="30" t="n"/>
      <c r="E185" s="29" t="n"/>
      <c r="F185" s="29" t="n"/>
      <c r="G185" s="31" t="n"/>
      <c r="H185" s="32" t="n"/>
      <c r="I185" s="29" t="n"/>
      <c r="J185" s="33">
        <f>IF(H185="",0,IFERROR(H185*INDEX(FX_Rate,MATCH(IF(I185="","GBP",I185),FX_Code,0)),0))</f>
        <v/>
      </c>
      <c r="K185" s="33">
        <f>IF(ISNUMBER(G185),G185*J185,0)</f>
        <v/>
      </c>
      <c r="L185" s="34" t="n"/>
      <c r="M185" s="35" t="n"/>
      <c r="N185" s="36" t="n"/>
      <c r="O185" s="37" t="n"/>
      <c r="P185" s="37" t="n"/>
      <c r="Q185" s="38">
        <f>IF(OR(N185="",M185=""),"",INT(N185-IF(O185="",DefaultBuffer,O185)-M185*7-IF(P185="",DefaultApproval,P185)))</f>
        <v/>
      </c>
      <c r="R185" s="39">
        <f>IF(Q185="","",Q185-TODAY())</f>
        <v/>
      </c>
      <c r="S185" s="40">
        <f>IF(C185="","",IF(OR(T185="On hold",T185="Out of stock"),"Blocked",IF(ISNUMBER(MATCH(T185,OrderedStatuses,0)),"OK",IF(Q185="","Needs dates",IF(R185&lt;0,"Late",IF(R185&lt;=NudgeDays,"At risk","OK"))))))</f>
        <v/>
      </c>
      <c r="T185" s="29" t="n"/>
      <c r="U185" s="36" t="n"/>
      <c r="V185" s="29" t="n"/>
      <c r="W185" s="30" t="n"/>
    </row>
    <row r="186">
      <c r="A186" s="29" t="n"/>
      <c r="B186" s="29" t="n"/>
      <c r="C186" s="30" t="n"/>
      <c r="D186" s="30" t="n"/>
      <c r="E186" s="29" t="n"/>
      <c r="F186" s="29" t="n"/>
      <c r="G186" s="31" t="n"/>
      <c r="H186" s="32" t="n"/>
      <c r="I186" s="29" t="n"/>
      <c r="J186" s="33">
        <f>IF(H186="",0,IFERROR(H186*INDEX(FX_Rate,MATCH(IF(I186="","GBP",I186),FX_Code,0)),0))</f>
        <v/>
      </c>
      <c r="K186" s="33">
        <f>IF(ISNUMBER(G186),G186*J186,0)</f>
        <v/>
      </c>
      <c r="L186" s="34" t="n"/>
      <c r="M186" s="35" t="n"/>
      <c r="N186" s="36" t="n"/>
      <c r="O186" s="37" t="n"/>
      <c r="P186" s="37" t="n"/>
      <c r="Q186" s="38">
        <f>IF(OR(N186="",M186=""),"",INT(N186-IF(O186="",DefaultBuffer,O186)-M186*7-IF(P186="",DefaultApproval,P186)))</f>
        <v/>
      </c>
      <c r="R186" s="39">
        <f>IF(Q186="","",Q186-TODAY())</f>
        <v/>
      </c>
      <c r="S186" s="40">
        <f>IF(C186="","",IF(OR(T186="On hold",T186="Out of stock"),"Blocked",IF(ISNUMBER(MATCH(T186,OrderedStatuses,0)),"OK",IF(Q186="","Needs dates",IF(R186&lt;0,"Late",IF(R186&lt;=NudgeDays,"At risk","OK"))))))</f>
        <v/>
      </c>
      <c r="T186" s="29" t="n"/>
      <c r="U186" s="36" t="n"/>
      <c r="V186" s="29" t="n"/>
      <c r="W186" s="30" t="n"/>
    </row>
    <row r="187">
      <c r="A187" s="29" t="n"/>
      <c r="B187" s="29" t="n"/>
      <c r="C187" s="30" t="n"/>
      <c r="D187" s="30" t="n"/>
      <c r="E187" s="29" t="n"/>
      <c r="F187" s="29" t="n"/>
      <c r="G187" s="31" t="n"/>
      <c r="H187" s="32" t="n"/>
      <c r="I187" s="29" t="n"/>
      <c r="J187" s="33">
        <f>IF(H187="",0,IFERROR(H187*INDEX(FX_Rate,MATCH(IF(I187="","GBP",I187),FX_Code,0)),0))</f>
        <v/>
      </c>
      <c r="K187" s="33">
        <f>IF(ISNUMBER(G187),G187*J187,0)</f>
        <v/>
      </c>
      <c r="L187" s="34" t="n"/>
      <c r="M187" s="35" t="n"/>
      <c r="N187" s="36" t="n"/>
      <c r="O187" s="37" t="n"/>
      <c r="P187" s="37" t="n"/>
      <c r="Q187" s="38">
        <f>IF(OR(N187="",M187=""),"",INT(N187-IF(O187="",DefaultBuffer,O187)-M187*7-IF(P187="",DefaultApproval,P187)))</f>
        <v/>
      </c>
      <c r="R187" s="39">
        <f>IF(Q187="","",Q187-TODAY())</f>
        <v/>
      </c>
      <c r="S187" s="40">
        <f>IF(C187="","",IF(OR(T187="On hold",T187="Out of stock"),"Blocked",IF(ISNUMBER(MATCH(T187,OrderedStatuses,0)),"OK",IF(Q187="","Needs dates",IF(R187&lt;0,"Late",IF(R187&lt;=NudgeDays,"At risk","OK"))))))</f>
        <v/>
      </c>
      <c r="T187" s="29" t="n"/>
      <c r="U187" s="36" t="n"/>
      <c r="V187" s="29" t="n"/>
      <c r="W187" s="30" t="n"/>
    </row>
    <row r="188">
      <c r="A188" s="29" t="n"/>
      <c r="B188" s="29" t="n"/>
      <c r="C188" s="30" t="n"/>
      <c r="D188" s="30" t="n"/>
      <c r="E188" s="29" t="n"/>
      <c r="F188" s="29" t="n"/>
      <c r="G188" s="31" t="n"/>
      <c r="H188" s="32" t="n"/>
      <c r="I188" s="29" t="n"/>
      <c r="J188" s="33">
        <f>IF(H188="",0,IFERROR(H188*INDEX(FX_Rate,MATCH(IF(I188="","GBP",I188),FX_Code,0)),0))</f>
        <v/>
      </c>
      <c r="K188" s="33">
        <f>IF(ISNUMBER(G188),G188*J188,0)</f>
        <v/>
      </c>
      <c r="L188" s="34" t="n"/>
      <c r="M188" s="35" t="n"/>
      <c r="N188" s="36" t="n"/>
      <c r="O188" s="37" t="n"/>
      <c r="P188" s="37" t="n"/>
      <c r="Q188" s="38">
        <f>IF(OR(N188="",M188=""),"",INT(N188-IF(O188="",DefaultBuffer,O188)-M188*7-IF(P188="",DefaultApproval,P188)))</f>
        <v/>
      </c>
      <c r="R188" s="39">
        <f>IF(Q188="","",Q188-TODAY())</f>
        <v/>
      </c>
      <c r="S188" s="40">
        <f>IF(C188="","",IF(OR(T188="On hold",T188="Out of stock"),"Blocked",IF(ISNUMBER(MATCH(T188,OrderedStatuses,0)),"OK",IF(Q188="","Needs dates",IF(R188&lt;0,"Late",IF(R188&lt;=NudgeDays,"At risk","OK"))))))</f>
        <v/>
      </c>
      <c r="T188" s="29" t="n"/>
      <c r="U188" s="36" t="n"/>
      <c r="V188" s="29" t="n"/>
      <c r="W188" s="30" t="n"/>
    </row>
    <row r="189">
      <c r="A189" s="29" t="n"/>
      <c r="B189" s="29" t="n"/>
      <c r="C189" s="30" t="n"/>
      <c r="D189" s="30" t="n"/>
      <c r="E189" s="29" t="n"/>
      <c r="F189" s="29" t="n"/>
      <c r="G189" s="31" t="n"/>
      <c r="H189" s="32" t="n"/>
      <c r="I189" s="29" t="n"/>
      <c r="J189" s="33">
        <f>IF(H189="",0,IFERROR(H189*INDEX(FX_Rate,MATCH(IF(I189="","GBP",I189),FX_Code,0)),0))</f>
        <v/>
      </c>
      <c r="K189" s="33">
        <f>IF(ISNUMBER(G189),G189*J189,0)</f>
        <v/>
      </c>
      <c r="L189" s="34" t="n"/>
      <c r="M189" s="35" t="n"/>
      <c r="N189" s="36" t="n"/>
      <c r="O189" s="37" t="n"/>
      <c r="P189" s="37" t="n"/>
      <c r="Q189" s="38">
        <f>IF(OR(N189="",M189=""),"",INT(N189-IF(O189="",DefaultBuffer,O189)-M189*7-IF(P189="",DefaultApproval,P189)))</f>
        <v/>
      </c>
      <c r="R189" s="39">
        <f>IF(Q189="","",Q189-TODAY())</f>
        <v/>
      </c>
      <c r="S189" s="40">
        <f>IF(C189="","",IF(OR(T189="On hold",T189="Out of stock"),"Blocked",IF(ISNUMBER(MATCH(T189,OrderedStatuses,0)),"OK",IF(Q189="","Needs dates",IF(R189&lt;0,"Late",IF(R189&lt;=NudgeDays,"At risk","OK"))))))</f>
        <v/>
      </c>
      <c r="T189" s="29" t="n"/>
      <c r="U189" s="36" t="n"/>
      <c r="V189" s="29" t="n"/>
      <c r="W189" s="30" t="n"/>
    </row>
    <row r="190">
      <c r="A190" s="29" t="n"/>
      <c r="B190" s="29" t="n"/>
      <c r="C190" s="30" t="n"/>
      <c r="D190" s="30" t="n"/>
      <c r="E190" s="29" t="n"/>
      <c r="F190" s="29" t="n"/>
      <c r="G190" s="31" t="n"/>
      <c r="H190" s="32" t="n"/>
      <c r="I190" s="29" t="n"/>
      <c r="J190" s="33">
        <f>IF(H190="",0,IFERROR(H190*INDEX(FX_Rate,MATCH(IF(I190="","GBP",I190),FX_Code,0)),0))</f>
        <v/>
      </c>
      <c r="K190" s="33">
        <f>IF(ISNUMBER(G190),G190*J190,0)</f>
        <v/>
      </c>
      <c r="L190" s="34" t="n"/>
      <c r="M190" s="35" t="n"/>
      <c r="N190" s="36" t="n"/>
      <c r="O190" s="37" t="n"/>
      <c r="P190" s="37" t="n"/>
      <c r="Q190" s="38">
        <f>IF(OR(N190="",M190=""),"",INT(N190-IF(O190="",DefaultBuffer,O190)-M190*7-IF(P190="",DefaultApproval,P190)))</f>
        <v/>
      </c>
      <c r="R190" s="39">
        <f>IF(Q190="","",Q190-TODAY())</f>
        <v/>
      </c>
      <c r="S190" s="40">
        <f>IF(C190="","",IF(OR(T190="On hold",T190="Out of stock"),"Blocked",IF(ISNUMBER(MATCH(T190,OrderedStatuses,0)),"OK",IF(Q190="","Needs dates",IF(R190&lt;0,"Late",IF(R190&lt;=NudgeDays,"At risk","OK"))))))</f>
        <v/>
      </c>
      <c r="T190" s="29" t="n"/>
      <c r="U190" s="36" t="n"/>
      <c r="V190" s="29" t="n"/>
      <c r="W190" s="30" t="n"/>
    </row>
    <row r="191">
      <c r="A191" s="29" t="n"/>
      <c r="B191" s="29" t="n"/>
      <c r="C191" s="30" t="n"/>
      <c r="D191" s="30" t="n"/>
      <c r="E191" s="29" t="n"/>
      <c r="F191" s="29" t="n"/>
      <c r="G191" s="31" t="n"/>
      <c r="H191" s="32" t="n"/>
      <c r="I191" s="29" t="n"/>
      <c r="J191" s="33">
        <f>IF(H191="",0,IFERROR(H191*INDEX(FX_Rate,MATCH(IF(I191="","GBP",I191),FX_Code,0)),0))</f>
        <v/>
      </c>
      <c r="K191" s="33">
        <f>IF(ISNUMBER(G191),G191*J191,0)</f>
        <v/>
      </c>
      <c r="L191" s="34" t="n"/>
      <c r="M191" s="35" t="n"/>
      <c r="N191" s="36" t="n"/>
      <c r="O191" s="37" t="n"/>
      <c r="P191" s="37" t="n"/>
      <c r="Q191" s="38">
        <f>IF(OR(N191="",M191=""),"",INT(N191-IF(O191="",DefaultBuffer,O191)-M191*7-IF(P191="",DefaultApproval,P191)))</f>
        <v/>
      </c>
      <c r="R191" s="39">
        <f>IF(Q191="","",Q191-TODAY())</f>
        <v/>
      </c>
      <c r="S191" s="40">
        <f>IF(C191="","",IF(OR(T191="On hold",T191="Out of stock"),"Blocked",IF(ISNUMBER(MATCH(T191,OrderedStatuses,0)),"OK",IF(Q191="","Needs dates",IF(R191&lt;0,"Late",IF(R191&lt;=NudgeDays,"At risk","OK"))))))</f>
        <v/>
      </c>
      <c r="T191" s="29" t="n"/>
      <c r="U191" s="36" t="n"/>
      <c r="V191" s="29" t="n"/>
      <c r="W191" s="30" t="n"/>
    </row>
    <row r="192">
      <c r="A192" s="29" t="n"/>
      <c r="B192" s="29" t="n"/>
      <c r="C192" s="30" t="n"/>
      <c r="D192" s="30" t="n"/>
      <c r="E192" s="29" t="n"/>
      <c r="F192" s="29" t="n"/>
      <c r="G192" s="31" t="n"/>
      <c r="H192" s="32" t="n"/>
      <c r="I192" s="29" t="n"/>
      <c r="J192" s="33">
        <f>IF(H192="",0,IFERROR(H192*INDEX(FX_Rate,MATCH(IF(I192="","GBP",I192),FX_Code,0)),0))</f>
        <v/>
      </c>
      <c r="K192" s="33">
        <f>IF(ISNUMBER(G192),G192*J192,0)</f>
        <v/>
      </c>
      <c r="L192" s="34" t="n"/>
      <c r="M192" s="35" t="n"/>
      <c r="N192" s="36" t="n"/>
      <c r="O192" s="37" t="n"/>
      <c r="P192" s="37" t="n"/>
      <c r="Q192" s="38">
        <f>IF(OR(N192="",M192=""),"",INT(N192-IF(O192="",DefaultBuffer,O192)-M192*7-IF(P192="",DefaultApproval,P192)))</f>
        <v/>
      </c>
      <c r="R192" s="39">
        <f>IF(Q192="","",Q192-TODAY())</f>
        <v/>
      </c>
      <c r="S192" s="40">
        <f>IF(C192="","",IF(OR(T192="On hold",T192="Out of stock"),"Blocked",IF(ISNUMBER(MATCH(T192,OrderedStatuses,0)),"OK",IF(Q192="","Needs dates",IF(R192&lt;0,"Late",IF(R192&lt;=NudgeDays,"At risk","OK"))))))</f>
        <v/>
      </c>
      <c r="T192" s="29" t="n"/>
      <c r="U192" s="36" t="n"/>
      <c r="V192" s="29" t="n"/>
      <c r="W192" s="30" t="n"/>
    </row>
    <row r="193">
      <c r="A193" s="29" t="n"/>
      <c r="B193" s="29" t="n"/>
      <c r="C193" s="30" t="n"/>
      <c r="D193" s="30" t="n"/>
      <c r="E193" s="29" t="n"/>
      <c r="F193" s="29" t="n"/>
      <c r="G193" s="31" t="n"/>
      <c r="H193" s="32" t="n"/>
      <c r="I193" s="29" t="n"/>
      <c r="J193" s="33">
        <f>IF(H193="",0,IFERROR(H193*INDEX(FX_Rate,MATCH(IF(I193="","GBP",I193),FX_Code,0)),0))</f>
        <v/>
      </c>
      <c r="K193" s="33">
        <f>IF(ISNUMBER(G193),G193*J193,0)</f>
        <v/>
      </c>
      <c r="L193" s="34" t="n"/>
      <c r="M193" s="35" t="n"/>
      <c r="N193" s="36" t="n"/>
      <c r="O193" s="37" t="n"/>
      <c r="P193" s="37" t="n"/>
      <c r="Q193" s="38">
        <f>IF(OR(N193="",M193=""),"",INT(N193-IF(O193="",DefaultBuffer,O193)-M193*7-IF(P193="",DefaultApproval,P193)))</f>
        <v/>
      </c>
      <c r="R193" s="39">
        <f>IF(Q193="","",Q193-TODAY())</f>
        <v/>
      </c>
      <c r="S193" s="40">
        <f>IF(C193="","",IF(OR(T193="On hold",T193="Out of stock"),"Blocked",IF(ISNUMBER(MATCH(T193,OrderedStatuses,0)),"OK",IF(Q193="","Needs dates",IF(R193&lt;0,"Late",IF(R193&lt;=NudgeDays,"At risk","OK"))))))</f>
        <v/>
      </c>
      <c r="T193" s="29" t="n"/>
      <c r="U193" s="36" t="n"/>
      <c r="V193" s="29" t="n"/>
      <c r="W193" s="30" t="n"/>
    </row>
    <row r="194">
      <c r="A194" s="29" t="n"/>
      <c r="B194" s="29" t="n"/>
      <c r="C194" s="30" t="n"/>
      <c r="D194" s="30" t="n"/>
      <c r="E194" s="29" t="n"/>
      <c r="F194" s="29" t="n"/>
      <c r="G194" s="31" t="n"/>
      <c r="H194" s="32" t="n"/>
      <c r="I194" s="29" t="n"/>
      <c r="J194" s="33">
        <f>IF(H194="",0,IFERROR(H194*INDEX(FX_Rate,MATCH(IF(I194="","GBP",I194),FX_Code,0)),0))</f>
        <v/>
      </c>
      <c r="K194" s="33">
        <f>IF(ISNUMBER(G194),G194*J194,0)</f>
        <v/>
      </c>
      <c r="L194" s="34" t="n"/>
      <c r="M194" s="35" t="n"/>
      <c r="N194" s="36" t="n"/>
      <c r="O194" s="37" t="n"/>
      <c r="P194" s="37" t="n"/>
      <c r="Q194" s="38">
        <f>IF(OR(N194="",M194=""),"",INT(N194-IF(O194="",DefaultBuffer,O194)-M194*7-IF(P194="",DefaultApproval,P194)))</f>
        <v/>
      </c>
      <c r="R194" s="39">
        <f>IF(Q194="","",Q194-TODAY())</f>
        <v/>
      </c>
      <c r="S194" s="40">
        <f>IF(C194="","",IF(OR(T194="On hold",T194="Out of stock"),"Blocked",IF(ISNUMBER(MATCH(T194,OrderedStatuses,0)),"OK",IF(Q194="","Needs dates",IF(R194&lt;0,"Late",IF(R194&lt;=NudgeDays,"At risk","OK"))))))</f>
        <v/>
      </c>
      <c r="T194" s="29" t="n"/>
      <c r="U194" s="36" t="n"/>
      <c r="V194" s="29" t="n"/>
      <c r="W194" s="30" t="n"/>
    </row>
    <row r="195">
      <c r="A195" s="29" t="n"/>
      <c r="B195" s="29" t="n"/>
      <c r="C195" s="30" t="n"/>
      <c r="D195" s="30" t="n"/>
      <c r="E195" s="29" t="n"/>
      <c r="F195" s="29" t="n"/>
      <c r="G195" s="31" t="n"/>
      <c r="H195" s="32" t="n"/>
      <c r="I195" s="29" t="n"/>
      <c r="J195" s="33">
        <f>IF(H195="",0,IFERROR(H195*INDEX(FX_Rate,MATCH(IF(I195="","GBP",I195),FX_Code,0)),0))</f>
        <v/>
      </c>
      <c r="K195" s="33">
        <f>IF(ISNUMBER(G195),G195*J195,0)</f>
        <v/>
      </c>
      <c r="L195" s="34" t="n"/>
      <c r="M195" s="35" t="n"/>
      <c r="N195" s="36" t="n"/>
      <c r="O195" s="37" t="n"/>
      <c r="P195" s="37" t="n"/>
      <c r="Q195" s="38">
        <f>IF(OR(N195="",M195=""),"",INT(N195-IF(O195="",DefaultBuffer,O195)-M195*7-IF(P195="",DefaultApproval,P195)))</f>
        <v/>
      </c>
      <c r="R195" s="39">
        <f>IF(Q195="","",Q195-TODAY())</f>
        <v/>
      </c>
      <c r="S195" s="40">
        <f>IF(C195="","",IF(OR(T195="On hold",T195="Out of stock"),"Blocked",IF(ISNUMBER(MATCH(T195,OrderedStatuses,0)),"OK",IF(Q195="","Needs dates",IF(R195&lt;0,"Late",IF(R195&lt;=NudgeDays,"At risk","OK"))))))</f>
        <v/>
      </c>
      <c r="T195" s="29" t="n"/>
      <c r="U195" s="36" t="n"/>
      <c r="V195" s="29" t="n"/>
      <c r="W195" s="30" t="n"/>
    </row>
    <row r="196">
      <c r="A196" s="29" t="n"/>
      <c r="B196" s="29" t="n"/>
      <c r="C196" s="30" t="n"/>
      <c r="D196" s="30" t="n"/>
      <c r="E196" s="29" t="n"/>
      <c r="F196" s="29" t="n"/>
      <c r="G196" s="31" t="n"/>
      <c r="H196" s="32" t="n"/>
      <c r="I196" s="29" t="n"/>
      <c r="J196" s="33">
        <f>IF(H196="",0,IFERROR(H196*INDEX(FX_Rate,MATCH(IF(I196="","GBP",I196),FX_Code,0)),0))</f>
        <v/>
      </c>
      <c r="K196" s="33">
        <f>IF(ISNUMBER(G196),G196*J196,0)</f>
        <v/>
      </c>
      <c r="L196" s="34" t="n"/>
      <c r="M196" s="35" t="n"/>
      <c r="N196" s="36" t="n"/>
      <c r="O196" s="37" t="n"/>
      <c r="P196" s="37" t="n"/>
      <c r="Q196" s="38">
        <f>IF(OR(N196="",M196=""),"",INT(N196-IF(O196="",DefaultBuffer,O196)-M196*7-IF(P196="",DefaultApproval,P196)))</f>
        <v/>
      </c>
      <c r="R196" s="39">
        <f>IF(Q196="","",Q196-TODAY())</f>
        <v/>
      </c>
      <c r="S196" s="40">
        <f>IF(C196="","",IF(OR(T196="On hold",T196="Out of stock"),"Blocked",IF(ISNUMBER(MATCH(T196,OrderedStatuses,0)),"OK",IF(Q196="","Needs dates",IF(R196&lt;0,"Late",IF(R196&lt;=NudgeDays,"At risk","OK"))))))</f>
        <v/>
      </c>
      <c r="T196" s="29" t="n"/>
      <c r="U196" s="36" t="n"/>
      <c r="V196" s="29" t="n"/>
      <c r="W196" s="30" t="n"/>
    </row>
    <row r="197">
      <c r="A197" s="29" t="n"/>
      <c r="B197" s="29" t="n"/>
      <c r="C197" s="30" t="n"/>
      <c r="D197" s="30" t="n"/>
      <c r="E197" s="29" t="n"/>
      <c r="F197" s="29" t="n"/>
      <c r="G197" s="31" t="n"/>
      <c r="H197" s="32" t="n"/>
      <c r="I197" s="29" t="n"/>
      <c r="J197" s="33">
        <f>IF(H197="",0,IFERROR(H197*INDEX(FX_Rate,MATCH(IF(I197="","GBP",I197),FX_Code,0)),0))</f>
        <v/>
      </c>
      <c r="K197" s="33">
        <f>IF(ISNUMBER(G197),G197*J197,0)</f>
        <v/>
      </c>
      <c r="L197" s="34" t="n"/>
      <c r="M197" s="35" t="n"/>
      <c r="N197" s="36" t="n"/>
      <c r="O197" s="37" t="n"/>
      <c r="P197" s="37" t="n"/>
      <c r="Q197" s="38">
        <f>IF(OR(N197="",M197=""),"",INT(N197-IF(O197="",DefaultBuffer,O197)-M197*7-IF(P197="",DefaultApproval,P197)))</f>
        <v/>
      </c>
      <c r="R197" s="39">
        <f>IF(Q197="","",Q197-TODAY())</f>
        <v/>
      </c>
      <c r="S197" s="40">
        <f>IF(C197="","",IF(OR(T197="On hold",T197="Out of stock"),"Blocked",IF(ISNUMBER(MATCH(T197,OrderedStatuses,0)),"OK",IF(Q197="","Needs dates",IF(R197&lt;0,"Late",IF(R197&lt;=NudgeDays,"At risk","OK"))))))</f>
        <v/>
      </c>
      <c r="T197" s="29" t="n"/>
      <c r="U197" s="36" t="n"/>
      <c r="V197" s="29" t="n"/>
      <c r="W197" s="30" t="n"/>
    </row>
    <row r="198">
      <c r="A198" s="29" t="n"/>
      <c r="B198" s="29" t="n"/>
      <c r="C198" s="30" t="n"/>
      <c r="D198" s="30" t="n"/>
      <c r="E198" s="29" t="n"/>
      <c r="F198" s="29" t="n"/>
      <c r="G198" s="31" t="n"/>
      <c r="H198" s="32" t="n"/>
      <c r="I198" s="29" t="n"/>
      <c r="J198" s="33">
        <f>IF(H198="",0,IFERROR(H198*INDEX(FX_Rate,MATCH(IF(I198="","GBP",I198),FX_Code,0)),0))</f>
        <v/>
      </c>
      <c r="K198" s="33">
        <f>IF(ISNUMBER(G198),G198*J198,0)</f>
        <v/>
      </c>
      <c r="L198" s="34" t="n"/>
      <c r="M198" s="35" t="n"/>
      <c r="N198" s="36" t="n"/>
      <c r="O198" s="37" t="n"/>
      <c r="P198" s="37" t="n"/>
      <c r="Q198" s="38">
        <f>IF(OR(N198="",M198=""),"",INT(N198-IF(O198="",DefaultBuffer,O198)-M198*7-IF(P198="",DefaultApproval,P198)))</f>
        <v/>
      </c>
      <c r="R198" s="39">
        <f>IF(Q198="","",Q198-TODAY())</f>
        <v/>
      </c>
      <c r="S198" s="40">
        <f>IF(C198="","",IF(OR(T198="On hold",T198="Out of stock"),"Blocked",IF(ISNUMBER(MATCH(T198,OrderedStatuses,0)),"OK",IF(Q198="","Needs dates",IF(R198&lt;0,"Late",IF(R198&lt;=NudgeDays,"At risk","OK"))))))</f>
        <v/>
      </c>
      <c r="T198" s="29" t="n"/>
      <c r="U198" s="36" t="n"/>
      <c r="V198" s="29" t="n"/>
      <c r="W198" s="30" t="n"/>
    </row>
    <row r="199">
      <c r="A199" s="29" t="n"/>
      <c r="B199" s="29" t="n"/>
      <c r="C199" s="30" t="n"/>
      <c r="D199" s="30" t="n"/>
      <c r="E199" s="29" t="n"/>
      <c r="F199" s="29" t="n"/>
      <c r="G199" s="31" t="n"/>
      <c r="H199" s="32" t="n"/>
      <c r="I199" s="29" t="n"/>
      <c r="J199" s="33">
        <f>IF(H199="",0,IFERROR(H199*INDEX(FX_Rate,MATCH(IF(I199="","GBP",I199),FX_Code,0)),0))</f>
        <v/>
      </c>
      <c r="K199" s="33">
        <f>IF(ISNUMBER(G199),G199*J199,0)</f>
        <v/>
      </c>
      <c r="L199" s="34" t="n"/>
      <c r="M199" s="35" t="n"/>
      <c r="N199" s="36" t="n"/>
      <c r="O199" s="37" t="n"/>
      <c r="P199" s="37" t="n"/>
      <c r="Q199" s="38">
        <f>IF(OR(N199="",M199=""),"",INT(N199-IF(O199="",DefaultBuffer,O199)-M199*7-IF(P199="",DefaultApproval,P199)))</f>
        <v/>
      </c>
      <c r="R199" s="39">
        <f>IF(Q199="","",Q199-TODAY())</f>
        <v/>
      </c>
      <c r="S199" s="40">
        <f>IF(C199="","",IF(OR(T199="On hold",T199="Out of stock"),"Blocked",IF(ISNUMBER(MATCH(T199,OrderedStatuses,0)),"OK",IF(Q199="","Needs dates",IF(R199&lt;0,"Late",IF(R199&lt;=NudgeDays,"At risk","OK"))))))</f>
        <v/>
      </c>
      <c r="T199" s="29" t="n"/>
      <c r="U199" s="36" t="n"/>
      <c r="V199" s="29" t="n"/>
      <c r="W199" s="30" t="n"/>
    </row>
    <row r="200">
      <c r="A200" s="29" t="n"/>
      <c r="B200" s="29" t="n"/>
      <c r="C200" s="30" t="n"/>
      <c r="D200" s="30" t="n"/>
      <c r="E200" s="29" t="n"/>
      <c r="F200" s="29" t="n"/>
      <c r="G200" s="31" t="n"/>
      <c r="H200" s="32" t="n"/>
      <c r="I200" s="29" t="n"/>
      <c r="J200" s="33">
        <f>IF(H200="",0,IFERROR(H200*INDEX(FX_Rate,MATCH(IF(I200="","GBP",I200),FX_Code,0)),0))</f>
        <v/>
      </c>
      <c r="K200" s="33">
        <f>IF(ISNUMBER(G200),G200*J200,0)</f>
        <v/>
      </c>
      <c r="L200" s="34" t="n"/>
      <c r="M200" s="35" t="n"/>
      <c r="N200" s="36" t="n"/>
      <c r="O200" s="37" t="n"/>
      <c r="P200" s="37" t="n"/>
      <c r="Q200" s="38">
        <f>IF(OR(N200="",M200=""),"",INT(N200-IF(O200="",DefaultBuffer,O200)-M200*7-IF(P200="",DefaultApproval,P200)))</f>
        <v/>
      </c>
      <c r="R200" s="39">
        <f>IF(Q200="","",Q200-TODAY())</f>
        <v/>
      </c>
      <c r="S200" s="40">
        <f>IF(C200="","",IF(OR(T200="On hold",T200="Out of stock"),"Blocked",IF(ISNUMBER(MATCH(T200,OrderedStatuses,0)),"OK",IF(Q200="","Needs dates",IF(R200&lt;0,"Late",IF(R200&lt;=NudgeDays,"At risk","OK"))))))</f>
        <v/>
      </c>
      <c r="T200" s="29" t="n"/>
      <c r="U200" s="36" t="n"/>
      <c r="V200" s="29" t="n"/>
      <c r="W200" s="30" t="n"/>
    </row>
    <row r="201">
      <c r="A201" s="29" t="n"/>
      <c r="B201" s="29" t="n"/>
      <c r="C201" s="30" t="n"/>
      <c r="D201" s="30" t="n"/>
      <c r="E201" s="29" t="n"/>
      <c r="F201" s="29" t="n"/>
      <c r="G201" s="31" t="n"/>
      <c r="H201" s="32" t="n"/>
      <c r="I201" s="29" t="n"/>
      <c r="J201" s="33">
        <f>IF(H201="",0,IFERROR(H201*INDEX(FX_Rate,MATCH(IF(I201="","GBP",I201),FX_Code,0)),0))</f>
        <v/>
      </c>
      <c r="K201" s="33">
        <f>IF(ISNUMBER(G201),G201*J201,0)</f>
        <v/>
      </c>
      <c r="L201" s="34" t="n"/>
      <c r="M201" s="35" t="n"/>
      <c r="N201" s="36" t="n"/>
      <c r="O201" s="37" t="n"/>
      <c r="P201" s="37" t="n"/>
      <c r="Q201" s="38">
        <f>IF(OR(N201="",M201=""),"",INT(N201-IF(O201="",DefaultBuffer,O201)-M201*7-IF(P201="",DefaultApproval,P201)))</f>
        <v/>
      </c>
      <c r="R201" s="39">
        <f>IF(Q201="","",Q201-TODAY())</f>
        <v/>
      </c>
      <c r="S201" s="40">
        <f>IF(C201="","",IF(OR(T201="On hold",T201="Out of stock"),"Blocked",IF(ISNUMBER(MATCH(T201,OrderedStatuses,0)),"OK",IF(Q201="","Needs dates",IF(R201&lt;0,"Late",IF(R201&lt;=NudgeDays,"At risk","OK"))))))</f>
        <v/>
      </c>
      <c r="T201" s="29" t="n"/>
      <c r="U201" s="36" t="n"/>
      <c r="V201" s="29" t="n"/>
      <c r="W201" s="30" t="n"/>
    </row>
    <row r="202">
      <c r="A202" s="29" t="n"/>
      <c r="B202" s="29" t="n"/>
      <c r="C202" s="30" t="n"/>
      <c r="D202" s="30" t="n"/>
      <c r="E202" s="29" t="n"/>
      <c r="F202" s="29" t="n"/>
      <c r="G202" s="31" t="n"/>
      <c r="H202" s="32" t="n"/>
      <c r="I202" s="29" t="n"/>
      <c r="J202" s="33">
        <f>IF(H202="",0,IFERROR(H202*INDEX(FX_Rate,MATCH(IF(I202="","GBP",I202),FX_Code,0)),0))</f>
        <v/>
      </c>
      <c r="K202" s="33">
        <f>IF(ISNUMBER(G202),G202*J202,0)</f>
        <v/>
      </c>
      <c r="L202" s="34" t="n"/>
      <c r="M202" s="35" t="n"/>
      <c r="N202" s="36" t="n"/>
      <c r="O202" s="37" t="n"/>
      <c r="P202" s="37" t="n"/>
      <c r="Q202" s="38">
        <f>IF(OR(N202="",M202=""),"",INT(N202-IF(O202="",DefaultBuffer,O202)-M202*7-IF(P202="",DefaultApproval,P202)))</f>
        <v/>
      </c>
      <c r="R202" s="39">
        <f>IF(Q202="","",Q202-TODAY())</f>
        <v/>
      </c>
      <c r="S202" s="40">
        <f>IF(C202="","",IF(OR(T202="On hold",T202="Out of stock"),"Blocked",IF(ISNUMBER(MATCH(T202,OrderedStatuses,0)),"OK",IF(Q202="","Needs dates",IF(R202&lt;0,"Late",IF(R202&lt;=NudgeDays,"At risk","OK"))))))</f>
        <v/>
      </c>
      <c r="T202" s="29" t="n"/>
      <c r="U202" s="36" t="n"/>
      <c r="V202" s="29" t="n"/>
      <c r="W202" s="30" t="n"/>
    </row>
    <row r="203">
      <c r="A203" s="29" t="n"/>
      <c r="B203" s="29" t="n"/>
      <c r="C203" s="30" t="n"/>
      <c r="D203" s="30" t="n"/>
      <c r="E203" s="29" t="n"/>
      <c r="F203" s="29" t="n"/>
      <c r="G203" s="31" t="n"/>
      <c r="H203" s="32" t="n"/>
      <c r="I203" s="29" t="n"/>
      <c r="J203" s="33">
        <f>IF(H203="",0,IFERROR(H203*INDEX(FX_Rate,MATCH(IF(I203="","GBP",I203),FX_Code,0)),0))</f>
        <v/>
      </c>
      <c r="K203" s="33">
        <f>IF(ISNUMBER(G203),G203*J203,0)</f>
        <v/>
      </c>
      <c r="L203" s="34" t="n"/>
      <c r="M203" s="35" t="n"/>
      <c r="N203" s="36" t="n"/>
      <c r="O203" s="37" t="n"/>
      <c r="P203" s="37" t="n"/>
      <c r="Q203" s="38">
        <f>IF(OR(N203="",M203=""),"",INT(N203-IF(O203="",DefaultBuffer,O203)-M203*7-IF(P203="",DefaultApproval,P203)))</f>
        <v/>
      </c>
      <c r="R203" s="39">
        <f>IF(Q203="","",Q203-TODAY())</f>
        <v/>
      </c>
      <c r="S203" s="40">
        <f>IF(C203="","",IF(OR(T203="On hold",T203="Out of stock"),"Blocked",IF(ISNUMBER(MATCH(T203,OrderedStatuses,0)),"OK",IF(Q203="","Needs dates",IF(R203&lt;0,"Late",IF(R203&lt;=NudgeDays,"At risk","OK"))))))</f>
        <v/>
      </c>
      <c r="T203" s="29" t="n"/>
      <c r="U203" s="36" t="n"/>
      <c r="V203" s="29" t="n"/>
      <c r="W203" s="30" t="n"/>
    </row>
    <row r="204">
      <c r="A204" s="29" t="n"/>
      <c r="B204" s="29" t="n"/>
      <c r="C204" s="30" t="n"/>
      <c r="D204" s="30" t="n"/>
      <c r="E204" s="29" t="n"/>
      <c r="F204" s="29" t="n"/>
      <c r="G204" s="31" t="n"/>
      <c r="H204" s="32" t="n"/>
      <c r="I204" s="29" t="n"/>
      <c r="J204" s="33">
        <f>IF(H204="",0,IFERROR(H204*INDEX(FX_Rate,MATCH(IF(I204="","GBP",I204),FX_Code,0)),0))</f>
        <v/>
      </c>
      <c r="K204" s="33">
        <f>IF(ISNUMBER(G204),G204*J204,0)</f>
        <v/>
      </c>
      <c r="L204" s="34" t="n"/>
      <c r="M204" s="35" t="n"/>
      <c r="N204" s="36" t="n"/>
      <c r="O204" s="37" t="n"/>
      <c r="P204" s="37" t="n"/>
      <c r="Q204" s="38">
        <f>IF(OR(N204="",M204=""),"",INT(N204-IF(O204="",DefaultBuffer,O204)-M204*7-IF(P204="",DefaultApproval,P204)))</f>
        <v/>
      </c>
      <c r="R204" s="39">
        <f>IF(Q204="","",Q204-TODAY())</f>
        <v/>
      </c>
      <c r="S204" s="40">
        <f>IF(C204="","",IF(OR(T204="On hold",T204="Out of stock"),"Blocked",IF(ISNUMBER(MATCH(T204,OrderedStatuses,0)),"OK",IF(Q204="","Needs dates",IF(R204&lt;0,"Late",IF(R204&lt;=NudgeDays,"At risk","OK"))))))</f>
        <v/>
      </c>
      <c r="T204" s="29" t="n"/>
      <c r="U204" s="36" t="n"/>
      <c r="V204" s="29" t="n"/>
      <c r="W204" s="30" t="n"/>
    </row>
    <row r="205">
      <c r="A205" s="29" t="n"/>
      <c r="B205" s="29" t="n"/>
      <c r="C205" s="30" t="n"/>
      <c r="D205" s="30" t="n"/>
      <c r="E205" s="29" t="n"/>
      <c r="F205" s="29" t="n"/>
      <c r="G205" s="31" t="n"/>
      <c r="H205" s="32" t="n"/>
      <c r="I205" s="29" t="n"/>
      <c r="J205" s="33">
        <f>IF(H205="",0,IFERROR(H205*INDEX(FX_Rate,MATCH(IF(I205="","GBP",I205),FX_Code,0)),0))</f>
        <v/>
      </c>
      <c r="K205" s="33">
        <f>IF(ISNUMBER(G205),G205*J205,0)</f>
        <v/>
      </c>
      <c r="L205" s="34" t="n"/>
      <c r="M205" s="35" t="n"/>
      <c r="N205" s="36" t="n"/>
      <c r="O205" s="37" t="n"/>
      <c r="P205" s="37" t="n"/>
      <c r="Q205" s="38">
        <f>IF(OR(N205="",M205=""),"",INT(N205-IF(O205="",DefaultBuffer,O205)-M205*7-IF(P205="",DefaultApproval,P205)))</f>
        <v/>
      </c>
      <c r="R205" s="39">
        <f>IF(Q205="","",Q205-TODAY())</f>
        <v/>
      </c>
      <c r="S205" s="40">
        <f>IF(C205="","",IF(OR(T205="On hold",T205="Out of stock"),"Blocked",IF(ISNUMBER(MATCH(T205,OrderedStatuses,0)),"OK",IF(Q205="","Needs dates",IF(R205&lt;0,"Late",IF(R205&lt;=NudgeDays,"At risk","OK"))))))</f>
        <v/>
      </c>
      <c r="T205" s="29" t="n"/>
      <c r="U205" s="36" t="n"/>
      <c r="V205" s="29" t="n"/>
      <c r="W205" s="30" t="n"/>
    </row>
  </sheetData>
  <sheetProtection selectLockedCells="0" selectUnlockedCells="0" sheet="1" objects="0" insertRows="1" insertHyperlinks="1" autoFilter="0" scenarios="0" formatColumns="0" deleteColumns="1" insertColumns="1" pivotTables="1" deleteRows="1" formatCells="1" formatRows="0" sort="0"/>
  <autoFilter ref="A5:W205"/>
  <mergeCells count="2">
    <mergeCell ref="B2:D2"/>
    <mergeCell ref="A4:W4"/>
  </mergeCells>
  <conditionalFormatting sqref="S6:S205">
    <cfRule type="expression" priority="1" dxfId="0" stopIfTrue="1">
      <formula>OR($S6="Late",$S6="Blocked")</formula>
    </cfRule>
    <cfRule type="expression" priority="2" dxfId="1" stopIfTrue="1">
      <formula>$S6="At risk"</formula>
    </cfRule>
    <cfRule type="expression" priority="3" dxfId="2" stopIfTrue="1">
      <formula>$S6="OK"</formula>
    </cfRule>
    <cfRule type="expression" priority="4" dxfId="3" stopIfTrue="1">
      <formula>$S6="Needs dates"</formula>
    </cfRule>
  </conditionalFormatting>
  <conditionalFormatting sqref="R6:R205">
    <cfRule type="expression" priority="5" dxfId="0" stopIfTrue="1">
      <formula>OR($S6="Late",$S6="Blocked")</formula>
    </cfRule>
    <cfRule type="expression" priority="6" dxfId="1" stopIfTrue="1">
      <formula>$S6="At risk"</formula>
    </cfRule>
    <cfRule type="expression" priority="7" dxfId="2" stopIfTrue="1">
      <formula>$S6="OK"</formula>
    </cfRule>
    <cfRule type="expression" priority="8" dxfId="3" stopIfTrue="1">
      <formula>$S6="Needs dates"</formula>
    </cfRule>
  </conditionalFormatting>
  <conditionalFormatting sqref="I6:I205">
    <cfRule type="expression" priority="9" dxfId="0">
      <formula>AND(I6&lt;&gt;"",ISNA(MATCH(I6,FX_Code,0)))</formula>
    </cfRule>
  </conditionalFormatting>
  <dataValidations count="7">
    <dataValidation sqref="T6:T205" showDropDown="0" showInputMessage="0" showErrorMessage="1" allowBlank="1" errorTitle="Status" error="Pick a status from the list (edit the list on the Lists sheet)." type="list">
      <formula1>=StatusList</formula1>
    </dataValidation>
    <dataValidation sqref="I6:I205" showDropDown="0" showInputMessage="0" showErrorMessage="1" allowBlank="1" errorTitle="Currency" error="Add this currency and its rate on the Lists sheet first." type="list">
      <formula1>=FX_Code</formula1>
    </dataValidation>
    <dataValidation sqref="L6:L205" showDropDown="0" showInputMessage="0" showErrorMessage="1" allowBlank="1" errorTitle="VAT rate" error="Not one of the VAT rates on the Lists sheet. Keep it anyway?" type="list" errorStyle="warning">
      <formula1>=VATRates</formula1>
    </dataValidation>
    <dataValidation sqref="B6:B205" showDropDown="0" showInputMessage="0" showErrorMessage="1" allowBlank="1" errorTitle="Room" error="This room is not on the Rooms sheet, so it will not appear in room totals. Keep it anyway?" type="list" errorStyle="warning">
      <formula1>=RoomList</formula1>
    </dataValidation>
    <dataValidation sqref="E6:E205" showDropDown="0" showInputMessage="0" showErrorMessage="1" allowBlank="1" errorTitle="Supplier" error="This supplier is not on the Suppliers sheet, so it will not appear in supplier totals. Keep it anyway?" type="list" errorStyle="warning">
      <formula1>=SupplierList</formula1>
    </dataValidation>
    <dataValidation sqref="G6:G205 H6:H205 M6:M205 O6:O205 P6:P205" showDropDown="0" showInputMessage="0" showErrorMessage="1" allowBlank="1" errorTitle="Number" error="Enter a number of zero or more." type="decimal" operator="greaterThanOrEqual">
      <formula1>0</formula1>
    </dataValidation>
    <dataValidation sqref="N6:N205 U6:U205" showDropDown="0" showInputMessage="0" showErrorMessage="1" allowBlank="1" errorTitle="Date" error="Enter a date, for example 14/03/2027." type="date" operator="greaterThan">
      <formula1>36526</formula1>
    </dataValidation>
  </dataValidations>
  <pageMargins left="0.4" right="0.4" top="0.5" bottom="0.6" header="0.5" footer="0.5"/>
  <pageSetup orientation="landscape" paperSize="9" fitToHeight="0" fitToWidth="1"/>
  <headerFooter>
    <oddHeader/>
    <oddFooter>&amp;L&amp;8 Made by Techstyles · techstyles.ai&amp;R&amp;8 Page &amp;P of &amp;N</oddFooter>
    <evenHeader/>
    <evenFooter/>
    <firstHeader/>
    <firstFooter/>
  </headerFooter>
</worksheet>
</file>

<file path=xl/worksheets/sheet3.xml><?xml version="1.0" encoding="utf-8"?>
<worksheet xmlns="http://schemas.openxmlformats.org/spreadsheetml/2006/main">
  <sheetPr>
    <tabColor rgb="001F1D1A"/>
    <outlinePr summaryBelow="1" summaryRight="1"/>
    <pageSetUpPr fitToPage="1"/>
  </sheetPr>
  <dimension ref="A1:J38"/>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8" customWidth="1" min="2" max="2"/>
    <col width="8" customWidth="1" min="3" max="3"/>
    <col width="9" customWidth="1" min="4" max="4"/>
    <col width="15" customWidth="1" min="5" max="5"/>
    <col width="13" customWidth="1" min="6" max="6"/>
    <col width="15" customWidth="1" min="7" max="7"/>
    <col width="10" customWidth="1" min="8" max="8"/>
    <col width="9" customWidth="1" min="9" max="9"/>
    <col width="16" customWidth="1" min="10" max="10"/>
  </cols>
  <sheetData>
    <row r="1" ht="30" customHeight="1">
      <c r="A1" s="15" t="inlineStr">
        <is>
          <t>Room summary</t>
        </is>
      </c>
      <c r="B1" s="1" t="n"/>
      <c r="C1" s="1" t="n"/>
      <c r="D1" s="1" t="n"/>
      <c r="E1" s="1" t="n"/>
      <c r="F1" s="1" t="n"/>
      <c r="G1" s="1" t="n"/>
      <c r="H1" s="1" t="n"/>
      <c r="I1" s="1" t="n"/>
      <c r="J1" s="1" t="n"/>
    </row>
    <row r="2">
      <c r="A2" s="17" t="inlineStr">
        <is>
          <t>List the project's rooms in column A; they feed the Room dropdown on the Schedule. Totals are in GBP, ex VAT unless stated, and include sample rows until you clear them.</t>
        </is>
      </c>
      <c r="B2" s="1" t="n"/>
      <c r="C2" s="1" t="n"/>
      <c r="D2" s="1" t="n"/>
      <c r="E2" s="1" t="n"/>
      <c r="F2" s="1" t="n"/>
      <c r="G2" s="1" t="n"/>
      <c r="H2" s="1" t="n"/>
      <c r="I2" s="1" t="n"/>
      <c r="J2" s="1" t="n"/>
    </row>
    <row r="3">
      <c r="A3" s="1" t="n"/>
      <c r="B3" s="1" t="n"/>
      <c r="C3" s="1" t="n"/>
      <c r="D3" s="1" t="n"/>
      <c r="E3" s="1" t="n"/>
      <c r="F3" s="1" t="n"/>
      <c r="G3" s="1" t="n"/>
      <c r="H3" s="1" t="n"/>
      <c r="I3" s="1" t="n"/>
      <c r="J3" s="1" t="n"/>
    </row>
    <row r="4" ht="34" customHeight="1">
      <c r="A4" s="41" t="inlineStr">
        <is>
          <t>Room</t>
        </is>
      </c>
      <c r="B4" s="41" t="inlineStr">
        <is>
          <t>Level / notes</t>
        </is>
      </c>
      <c r="C4" s="42" t="inlineStr">
        <is>
          <t>Items</t>
        </is>
      </c>
      <c r="D4" s="42" t="inlineStr">
        <is>
          <t>Ordered</t>
        </is>
      </c>
      <c r="E4" s="42" t="inlineStr">
        <is>
          <t>Total ex VAT (GBP)</t>
        </is>
      </c>
      <c r="F4" s="42" t="inlineStr">
        <is>
          <t>VAT (GBP)</t>
        </is>
      </c>
      <c r="G4" s="42" t="inlineStr">
        <is>
          <t>Total inc VAT (GBP)</t>
        </is>
      </c>
      <c r="H4" s="42" t="inlineStr">
        <is>
          <t>Blocked / late</t>
        </is>
      </c>
      <c r="I4" s="42" t="inlineStr">
        <is>
          <t>At risk</t>
        </is>
      </c>
      <c r="J4" s="42" t="inlineStr">
        <is>
          <t>Next order-by (not yet ordered)</t>
        </is>
      </c>
    </row>
    <row r="5">
      <c r="A5" s="43" t="inlineStr">
        <is>
          <t>Entrance hall</t>
        </is>
      </c>
      <c r="B5" s="43" t="inlineStr">
        <is>
          <t>Ground</t>
        </is>
      </c>
      <c r="C5" s="44">
        <f>IF(A5="","",SUMPRODUCT((Sched_Room=A5)*(Sched_Item&lt;&gt;"")))</f>
        <v/>
      </c>
      <c r="D5" s="44">
        <f>IF(A5="","",SUMPRODUCT((Sched_Room=A5)*ISNUMBER(MATCH(Sched_Status,OrderedStatuses,0))))</f>
        <v/>
      </c>
      <c r="E5" s="45">
        <f>IF(A5="","",SUMIFS(Sched_LineGBP,Sched_Room,A5))</f>
        <v/>
      </c>
      <c r="F5" s="45">
        <f>IF(A5="","",SUMPRODUCT((Sched_Room=A5)*Sched_LineGBP*Sched_VAT))</f>
        <v/>
      </c>
      <c r="G5" s="45">
        <f>IF(A5="","",E5+F5)</f>
        <v/>
      </c>
      <c r="H5" s="44">
        <f>IF(A5="","",COUNTIFS(Sched_Room,A5,Sched_Risk,"Blocked")+COUNTIFS(Sched_Room,A5,Sched_Risk,"Late"))</f>
        <v/>
      </c>
      <c r="I5" s="44">
        <f>IF(A5="","",COUNTIFS(Sched_Room,A5,Sched_Risk,"At risk"))</f>
        <v/>
      </c>
      <c r="J5" s="46">
        <f>IF(A5="","",IF(_xlfn.MINIFS(Sched_OrderBy,Sched_Room,A5,Sched_Status,"&lt;&gt;Ordered",Sched_Status,"&lt;&gt;In production",Sched_Status,"&lt;&gt;Shipped",Sched_Status,"&lt;&gt;Delivered",Sched_Status,"&lt;&gt;Installed")=0,"",_xlfn.MINIFS(Sched_OrderBy,Sched_Room,A5,Sched_Status,"&lt;&gt;Ordered",Sched_Status,"&lt;&gt;In production",Sched_Status,"&lt;&gt;Shipped",Sched_Status,"&lt;&gt;Delivered",Sched_Status,"&lt;&gt;Installed")))</f>
        <v/>
      </c>
    </row>
    <row r="6">
      <c r="A6" s="43" t="inlineStr">
        <is>
          <t>Drawing room</t>
        </is>
      </c>
      <c r="B6" s="43" t="inlineStr">
        <is>
          <t>Ground</t>
        </is>
      </c>
      <c r="C6" s="44">
        <f>IF(A6="","",SUMPRODUCT((Sched_Room=A6)*(Sched_Item&lt;&gt;"")))</f>
        <v/>
      </c>
      <c r="D6" s="44">
        <f>IF(A6="","",SUMPRODUCT((Sched_Room=A6)*ISNUMBER(MATCH(Sched_Status,OrderedStatuses,0))))</f>
        <v/>
      </c>
      <c r="E6" s="45">
        <f>IF(A6="","",SUMIFS(Sched_LineGBP,Sched_Room,A6))</f>
        <v/>
      </c>
      <c r="F6" s="45">
        <f>IF(A6="","",SUMPRODUCT((Sched_Room=A6)*Sched_LineGBP*Sched_VAT))</f>
        <v/>
      </c>
      <c r="G6" s="45">
        <f>IF(A6="","",E6+F6)</f>
        <v/>
      </c>
      <c r="H6" s="44">
        <f>IF(A6="","",COUNTIFS(Sched_Room,A6,Sched_Risk,"Blocked")+COUNTIFS(Sched_Room,A6,Sched_Risk,"Late"))</f>
        <v/>
      </c>
      <c r="I6" s="44">
        <f>IF(A6="","",COUNTIFS(Sched_Room,A6,Sched_Risk,"At risk"))</f>
        <v/>
      </c>
      <c r="J6" s="46">
        <f>IF(A6="","",IF(_xlfn.MINIFS(Sched_OrderBy,Sched_Room,A6,Sched_Status,"&lt;&gt;Ordered",Sched_Status,"&lt;&gt;In production",Sched_Status,"&lt;&gt;Shipped",Sched_Status,"&lt;&gt;Delivered",Sched_Status,"&lt;&gt;Installed")=0,"",_xlfn.MINIFS(Sched_OrderBy,Sched_Room,A6,Sched_Status,"&lt;&gt;Ordered",Sched_Status,"&lt;&gt;In production",Sched_Status,"&lt;&gt;Shipped",Sched_Status,"&lt;&gt;Delivered",Sched_Status,"&lt;&gt;Installed")))</f>
        <v/>
      </c>
    </row>
    <row r="7">
      <c r="A7" s="43" t="inlineStr">
        <is>
          <t>Kitchen</t>
        </is>
      </c>
      <c r="B7" s="43" t="inlineStr">
        <is>
          <t>Ground</t>
        </is>
      </c>
      <c r="C7" s="44">
        <f>IF(A7="","",SUMPRODUCT((Sched_Room=A7)*(Sched_Item&lt;&gt;"")))</f>
        <v/>
      </c>
      <c r="D7" s="44">
        <f>IF(A7="","",SUMPRODUCT((Sched_Room=A7)*ISNUMBER(MATCH(Sched_Status,OrderedStatuses,0))))</f>
        <v/>
      </c>
      <c r="E7" s="45">
        <f>IF(A7="","",SUMIFS(Sched_LineGBP,Sched_Room,A7))</f>
        <v/>
      </c>
      <c r="F7" s="45">
        <f>IF(A7="","",SUMPRODUCT((Sched_Room=A7)*Sched_LineGBP*Sched_VAT))</f>
        <v/>
      </c>
      <c r="G7" s="45">
        <f>IF(A7="","",E7+F7)</f>
        <v/>
      </c>
      <c r="H7" s="44">
        <f>IF(A7="","",COUNTIFS(Sched_Room,A7,Sched_Risk,"Blocked")+COUNTIFS(Sched_Room,A7,Sched_Risk,"Late"))</f>
        <v/>
      </c>
      <c r="I7" s="44">
        <f>IF(A7="","",COUNTIFS(Sched_Room,A7,Sched_Risk,"At risk"))</f>
        <v/>
      </c>
      <c r="J7" s="46">
        <f>IF(A7="","",IF(_xlfn.MINIFS(Sched_OrderBy,Sched_Room,A7,Sched_Status,"&lt;&gt;Ordered",Sched_Status,"&lt;&gt;In production",Sched_Status,"&lt;&gt;Shipped",Sched_Status,"&lt;&gt;Delivered",Sched_Status,"&lt;&gt;Installed")=0,"",_xlfn.MINIFS(Sched_OrderBy,Sched_Room,A7,Sched_Status,"&lt;&gt;Ordered",Sched_Status,"&lt;&gt;In production",Sched_Status,"&lt;&gt;Shipped",Sched_Status,"&lt;&gt;Delivered",Sched_Status,"&lt;&gt;Installed")))</f>
        <v/>
      </c>
    </row>
    <row r="8">
      <c r="A8" s="43" t="inlineStr">
        <is>
          <t>Dining room</t>
        </is>
      </c>
      <c r="B8" s="43" t="inlineStr">
        <is>
          <t>Ground</t>
        </is>
      </c>
      <c r="C8" s="44">
        <f>IF(A8="","",SUMPRODUCT((Sched_Room=A8)*(Sched_Item&lt;&gt;"")))</f>
        <v/>
      </c>
      <c r="D8" s="44">
        <f>IF(A8="","",SUMPRODUCT((Sched_Room=A8)*ISNUMBER(MATCH(Sched_Status,OrderedStatuses,0))))</f>
        <v/>
      </c>
      <c r="E8" s="45">
        <f>IF(A8="","",SUMIFS(Sched_LineGBP,Sched_Room,A8))</f>
        <v/>
      </c>
      <c r="F8" s="45">
        <f>IF(A8="","",SUMPRODUCT((Sched_Room=A8)*Sched_LineGBP*Sched_VAT))</f>
        <v/>
      </c>
      <c r="G8" s="45">
        <f>IF(A8="","",E8+F8)</f>
        <v/>
      </c>
      <c r="H8" s="44">
        <f>IF(A8="","",COUNTIFS(Sched_Room,A8,Sched_Risk,"Blocked")+COUNTIFS(Sched_Room,A8,Sched_Risk,"Late"))</f>
        <v/>
      </c>
      <c r="I8" s="44">
        <f>IF(A8="","",COUNTIFS(Sched_Room,A8,Sched_Risk,"At risk"))</f>
        <v/>
      </c>
      <c r="J8" s="46">
        <f>IF(A8="","",IF(_xlfn.MINIFS(Sched_OrderBy,Sched_Room,A8,Sched_Status,"&lt;&gt;Ordered",Sched_Status,"&lt;&gt;In production",Sched_Status,"&lt;&gt;Shipped",Sched_Status,"&lt;&gt;Delivered",Sched_Status,"&lt;&gt;Installed")=0,"",_xlfn.MINIFS(Sched_OrderBy,Sched_Room,A8,Sched_Status,"&lt;&gt;Ordered",Sched_Status,"&lt;&gt;In production",Sched_Status,"&lt;&gt;Shipped",Sched_Status,"&lt;&gt;Delivered",Sched_Status,"&lt;&gt;Installed")))</f>
        <v/>
      </c>
    </row>
    <row r="9">
      <c r="A9" s="43" t="inlineStr">
        <is>
          <t>Principal bedroom</t>
        </is>
      </c>
      <c r="B9" s="43" t="inlineStr">
        <is>
          <t>First</t>
        </is>
      </c>
      <c r="C9" s="44">
        <f>IF(A9="","",SUMPRODUCT((Sched_Room=A9)*(Sched_Item&lt;&gt;"")))</f>
        <v/>
      </c>
      <c r="D9" s="44">
        <f>IF(A9="","",SUMPRODUCT((Sched_Room=A9)*ISNUMBER(MATCH(Sched_Status,OrderedStatuses,0))))</f>
        <v/>
      </c>
      <c r="E9" s="45">
        <f>IF(A9="","",SUMIFS(Sched_LineGBP,Sched_Room,A9))</f>
        <v/>
      </c>
      <c r="F9" s="45">
        <f>IF(A9="","",SUMPRODUCT((Sched_Room=A9)*Sched_LineGBP*Sched_VAT))</f>
        <v/>
      </c>
      <c r="G9" s="45">
        <f>IF(A9="","",E9+F9)</f>
        <v/>
      </c>
      <c r="H9" s="44">
        <f>IF(A9="","",COUNTIFS(Sched_Room,A9,Sched_Risk,"Blocked")+COUNTIFS(Sched_Room,A9,Sched_Risk,"Late"))</f>
        <v/>
      </c>
      <c r="I9" s="44">
        <f>IF(A9="","",COUNTIFS(Sched_Room,A9,Sched_Risk,"At risk"))</f>
        <v/>
      </c>
      <c r="J9" s="46">
        <f>IF(A9="","",IF(_xlfn.MINIFS(Sched_OrderBy,Sched_Room,A9,Sched_Status,"&lt;&gt;Ordered",Sched_Status,"&lt;&gt;In production",Sched_Status,"&lt;&gt;Shipped",Sched_Status,"&lt;&gt;Delivered",Sched_Status,"&lt;&gt;Installed")=0,"",_xlfn.MINIFS(Sched_OrderBy,Sched_Room,A9,Sched_Status,"&lt;&gt;Ordered",Sched_Status,"&lt;&gt;In production",Sched_Status,"&lt;&gt;Shipped",Sched_Status,"&lt;&gt;Delivered",Sched_Status,"&lt;&gt;Installed")))</f>
        <v/>
      </c>
    </row>
    <row r="10">
      <c r="A10" s="43" t="inlineStr">
        <is>
          <t>Principal bathroom</t>
        </is>
      </c>
      <c r="B10" s="43" t="inlineStr">
        <is>
          <t>First</t>
        </is>
      </c>
      <c r="C10" s="44">
        <f>IF(A10="","",SUMPRODUCT((Sched_Room=A10)*(Sched_Item&lt;&gt;"")))</f>
        <v/>
      </c>
      <c r="D10" s="44">
        <f>IF(A10="","",SUMPRODUCT((Sched_Room=A10)*ISNUMBER(MATCH(Sched_Status,OrderedStatuses,0))))</f>
        <v/>
      </c>
      <c r="E10" s="45">
        <f>IF(A10="","",SUMIFS(Sched_LineGBP,Sched_Room,A10))</f>
        <v/>
      </c>
      <c r="F10" s="45">
        <f>IF(A10="","",SUMPRODUCT((Sched_Room=A10)*Sched_LineGBP*Sched_VAT))</f>
        <v/>
      </c>
      <c r="G10" s="45">
        <f>IF(A10="","",E10+F10)</f>
        <v/>
      </c>
      <c r="H10" s="44">
        <f>IF(A10="","",COUNTIFS(Sched_Room,A10,Sched_Risk,"Blocked")+COUNTIFS(Sched_Room,A10,Sched_Risk,"Late"))</f>
        <v/>
      </c>
      <c r="I10" s="44">
        <f>IF(A10="","",COUNTIFS(Sched_Room,A10,Sched_Risk,"At risk"))</f>
        <v/>
      </c>
      <c r="J10" s="46">
        <f>IF(A10="","",IF(_xlfn.MINIFS(Sched_OrderBy,Sched_Room,A10,Sched_Status,"&lt;&gt;Ordered",Sched_Status,"&lt;&gt;In production",Sched_Status,"&lt;&gt;Shipped",Sched_Status,"&lt;&gt;Delivered",Sched_Status,"&lt;&gt;Installed")=0,"",_xlfn.MINIFS(Sched_OrderBy,Sched_Room,A10,Sched_Status,"&lt;&gt;Ordered",Sched_Status,"&lt;&gt;In production",Sched_Status,"&lt;&gt;Shipped",Sched_Status,"&lt;&gt;Delivered",Sched_Status,"&lt;&gt;Installed")))</f>
        <v/>
      </c>
    </row>
    <row r="11">
      <c r="A11" s="43" t="inlineStr">
        <is>
          <t>Guest bedroom</t>
        </is>
      </c>
      <c r="B11" s="43" t="inlineStr">
        <is>
          <t>Second</t>
        </is>
      </c>
      <c r="C11" s="44">
        <f>IF(A11="","",SUMPRODUCT((Sched_Room=A11)*(Sched_Item&lt;&gt;"")))</f>
        <v/>
      </c>
      <c r="D11" s="44">
        <f>IF(A11="","",SUMPRODUCT((Sched_Room=A11)*ISNUMBER(MATCH(Sched_Status,OrderedStatuses,0))))</f>
        <v/>
      </c>
      <c r="E11" s="45">
        <f>IF(A11="","",SUMIFS(Sched_LineGBP,Sched_Room,A11))</f>
        <v/>
      </c>
      <c r="F11" s="45">
        <f>IF(A11="","",SUMPRODUCT((Sched_Room=A11)*Sched_LineGBP*Sched_VAT))</f>
        <v/>
      </c>
      <c r="G11" s="45">
        <f>IF(A11="","",E11+F11)</f>
        <v/>
      </c>
      <c r="H11" s="44">
        <f>IF(A11="","",COUNTIFS(Sched_Room,A11,Sched_Risk,"Blocked")+COUNTIFS(Sched_Room,A11,Sched_Risk,"Late"))</f>
        <v/>
      </c>
      <c r="I11" s="44">
        <f>IF(A11="","",COUNTIFS(Sched_Room,A11,Sched_Risk,"At risk"))</f>
        <v/>
      </c>
      <c r="J11" s="46">
        <f>IF(A11="","",IF(_xlfn.MINIFS(Sched_OrderBy,Sched_Room,A11,Sched_Status,"&lt;&gt;Ordered",Sched_Status,"&lt;&gt;In production",Sched_Status,"&lt;&gt;Shipped",Sched_Status,"&lt;&gt;Delivered",Sched_Status,"&lt;&gt;Installed")=0,"",_xlfn.MINIFS(Sched_OrderBy,Sched_Room,A11,Sched_Status,"&lt;&gt;Ordered",Sched_Status,"&lt;&gt;In production",Sched_Status,"&lt;&gt;Shipped",Sched_Status,"&lt;&gt;Delivered",Sched_Status,"&lt;&gt;Installed")))</f>
        <v/>
      </c>
    </row>
    <row r="12">
      <c r="A12" s="43" t="inlineStr">
        <is>
          <t>Study</t>
        </is>
      </c>
      <c r="B12" s="43" t="inlineStr">
        <is>
          <t>Second</t>
        </is>
      </c>
      <c r="C12" s="44">
        <f>IF(A12="","",SUMPRODUCT((Sched_Room=A12)*(Sched_Item&lt;&gt;"")))</f>
        <v/>
      </c>
      <c r="D12" s="44">
        <f>IF(A12="","",SUMPRODUCT((Sched_Room=A12)*ISNUMBER(MATCH(Sched_Status,OrderedStatuses,0))))</f>
        <v/>
      </c>
      <c r="E12" s="45">
        <f>IF(A12="","",SUMIFS(Sched_LineGBP,Sched_Room,A12))</f>
        <v/>
      </c>
      <c r="F12" s="45">
        <f>IF(A12="","",SUMPRODUCT((Sched_Room=A12)*Sched_LineGBP*Sched_VAT))</f>
        <v/>
      </c>
      <c r="G12" s="45">
        <f>IF(A12="","",E12+F12)</f>
        <v/>
      </c>
      <c r="H12" s="44">
        <f>IF(A12="","",COUNTIFS(Sched_Room,A12,Sched_Risk,"Blocked")+COUNTIFS(Sched_Room,A12,Sched_Risk,"Late"))</f>
        <v/>
      </c>
      <c r="I12" s="44">
        <f>IF(A12="","",COUNTIFS(Sched_Room,A12,Sched_Risk,"At risk"))</f>
        <v/>
      </c>
      <c r="J12" s="46">
        <f>IF(A12="","",IF(_xlfn.MINIFS(Sched_OrderBy,Sched_Room,A12,Sched_Status,"&lt;&gt;Ordered",Sched_Status,"&lt;&gt;In production",Sched_Status,"&lt;&gt;Shipped",Sched_Status,"&lt;&gt;Delivered",Sched_Status,"&lt;&gt;Installed")=0,"",_xlfn.MINIFS(Sched_OrderBy,Sched_Room,A12,Sched_Status,"&lt;&gt;Ordered",Sched_Status,"&lt;&gt;In production",Sched_Status,"&lt;&gt;Shipped",Sched_Status,"&lt;&gt;Delivered",Sched_Status,"&lt;&gt;Installed")))</f>
        <v/>
      </c>
    </row>
    <row r="13">
      <c r="A13" s="43" t="n"/>
      <c r="B13" s="43" t="n"/>
      <c r="C13" s="44">
        <f>IF(A13="","",SUMPRODUCT((Sched_Room=A13)*(Sched_Item&lt;&gt;"")))</f>
        <v/>
      </c>
      <c r="D13" s="44">
        <f>IF(A13="","",SUMPRODUCT((Sched_Room=A13)*ISNUMBER(MATCH(Sched_Status,OrderedStatuses,0))))</f>
        <v/>
      </c>
      <c r="E13" s="45">
        <f>IF(A13="","",SUMIFS(Sched_LineGBP,Sched_Room,A13))</f>
        <v/>
      </c>
      <c r="F13" s="45">
        <f>IF(A13="","",SUMPRODUCT((Sched_Room=A13)*Sched_LineGBP*Sched_VAT))</f>
        <v/>
      </c>
      <c r="G13" s="45">
        <f>IF(A13="","",E13+F13)</f>
        <v/>
      </c>
      <c r="H13" s="44">
        <f>IF(A13="","",COUNTIFS(Sched_Room,A13,Sched_Risk,"Blocked")+COUNTIFS(Sched_Room,A13,Sched_Risk,"Late"))</f>
        <v/>
      </c>
      <c r="I13" s="44">
        <f>IF(A13="","",COUNTIFS(Sched_Room,A13,Sched_Risk,"At risk"))</f>
        <v/>
      </c>
      <c r="J13" s="46">
        <f>IF(A13="","",IF(_xlfn.MINIFS(Sched_OrderBy,Sched_Room,A13,Sched_Status,"&lt;&gt;Ordered",Sched_Status,"&lt;&gt;In production",Sched_Status,"&lt;&gt;Shipped",Sched_Status,"&lt;&gt;Delivered",Sched_Status,"&lt;&gt;Installed")=0,"",_xlfn.MINIFS(Sched_OrderBy,Sched_Room,A13,Sched_Status,"&lt;&gt;Ordered",Sched_Status,"&lt;&gt;In production",Sched_Status,"&lt;&gt;Shipped",Sched_Status,"&lt;&gt;Delivered",Sched_Status,"&lt;&gt;Installed")))</f>
        <v/>
      </c>
    </row>
    <row r="14">
      <c r="A14" s="43" t="n"/>
      <c r="B14" s="43" t="n"/>
      <c r="C14" s="44">
        <f>IF(A14="","",SUMPRODUCT((Sched_Room=A14)*(Sched_Item&lt;&gt;"")))</f>
        <v/>
      </c>
      <c r="D14" s="44">
        <f>IF(A14="","",SUMPRODUCT((Sched_Room=A14)*ISNUMBER(MATCH(Sched_Status,OrderedStatuses,0))))</f>
        <v/>
      </c>
      <c r="E14" s="45">
        <f>IF(A14="","",SUMIFS(Sched_LineGBP,Sched_Room,A14))</f>
        <v/>
      </c>
      <c r="F14" s="45">
        <f>IF(A14="","",SUMPRODUCT((Sched_Room=A14)*Sched_LineGBP*Sched_VAT))</f>
        <v/>
      </c>
      <c r="G14" s="45">
        <f>IF(A14="","",E14+F14)</f>
        <v/>
      </c>
      <c r="H14" s="44">
        <f>IF(A14="","",COUNTIFS(Sched_Room,A14,Sched_Risk,"Blocked")+COUNTIFS(Sched_Room,A14,Sched_Risk,"Late"))</f>
        <v/>
      </c>
      <c r="I14" s="44">
        <f>IF(A14="","",COUNTIFS(Sched_Room,A14,Sched_Risk,"At risk"))</f>
        <v/>
      </c>
      <c r="J14" s="46">
        <f>IF(A14="","",IF(_xlfn.MINIFS(Sched_OrderBy,Sched_Room,A14,Sched_Status,"&lt;&gt;Ordered",Sched_Status,"&lt;&gt;In production",Sched_Status,"&lt;&gt;Shipped",Sched_Status,"&lt;&gt;Delivered",Sched_Status,"&lt;&gt;Installed")=0,"",_xlfn.MINIFS(Sched_OrderBy,Sched_Room,A14,Sched_Status,"&lt;&gt;Ordered",Sched_Status,"&lt;&gt;In production",Sched_Status,"&lt;&gt;Shipped",Sched_Status,"&lt;&gt;Delivered",Sched_Status,"&lt;&gt;Installed")))</f>
        <v/>
      </c>
    </row>
    <row r="15">
      <c r="A15" s="43" t="n"/>
      <c r="B15" s="43" t="n"/>
      <c r="C15" s="44">
        <f>IF(A15="","",SUMPRODUCT((Sched_Room=A15)*(Sched_Item&lt;&gt;"")))</f>
        <v/>
      </c>
      <c r="D15" s="44">
        <f>IF(A15="","",SUMPRODUCT((Sched_Room=A15)*ISNUMBER(MATCH(Sched_Status,OrderedStatuses,0))))</f>
        <v/>
      </c>
      <c r="E15" s="45">
        <f>IF(A15="","",SUMIFS(Sched_LineGBP,Sched_Room,A15))</f>
        <v/>
      </c>
      <c r="F15" s="45">
        <f>IF(A15="","",SUMPRODUCT((Sched_Room=A15)*Sched_LineGBP*Sched_VAT))</f>
        <v/>
      </c>
      <c r="G15" s="45">
        <f>IF(A15="","",E15+F15)</f>
        <v/>
      </c>
      <c r="H15" s="44">
        <f>IF(A15="","",COUNTIFS(Sched_Room,A15,Sched_Risk,"Blocked")+COUNTIFS(Sched_Room,A15,Sched_Risk,"Late"))</f>
        <v/>
      </c>
      <c r="I15" s="44">
        <f>IF(A15="","",COUNTIFS(Sched_Room,A15,Sched_Risk,"At risk"))</f>
        <v/>
      </c>
      <c r="J15" s="46">
        <f>IF(A15="","",IF(_xlfn.MINIFS(Sched_OrderBy,Sched_Room,A15,Sched_Status,"&lt;&gt;Ordered",Sched_Status,"&lt;&gt;In production",Sched_Status,"&lt;&gt;Shipped",Sched_Status,"&lt;&gt;Delivered",Sched_Status,"&lt;&gt;Installed")=0,"",_xlfn.MINIFS(Sched_OrderBy,Sched_Room,A15,Sched_Status,"&lt;&gt;Ordered",Sched_Status,"&lt;&gt;In production",Sched_Status,"&lt;&gt;Shipped",Sched_Status,"&lt;&gt;Delivered",Sched_Status,"&lt;&gt;Installed")))</f>
        <v/>
      </c>
    </row>
    <row r="16">
      <c r="A16" s="43" t="n"/>
      <c r="B16" s="43" t="n"/>
      <c r="C16" s="44">
        <f>IF(A16="","",SUMPRODUCT((Sched_Room=A16)*(Sched_Item&lt;&gt;"")))</f>
        <v/>
      </c>
      <c r="D16" s="44">
        <f>IF(A16="","",SUMPRODUCT((Sched_Room=A16)*ISNUMBER(MATCH(Sched_Status,OrderedStatuses,0))))</f>
        <v/>
      </c>
      <c r="E16" s="45">
        <f>IF(A16="","",SUMIFS(Sched_LineGBP,Sched_Room,A16))</f>
        <v/>
      </c>
      <c r="F16" s="45">
        <f>IF(A16="","",SUMPRODUCT((Sched_Room=A16)*Sched_LineGBP*Sched_VAT))</f>
        <v/>
      </c>
      <c r="G16" s="45">
        <f>IF(A16="","",E16+F16)</f>
        <v/>
      </c>
      <c r="H16" s="44">
        <f>IF(A16="","",COUNTIFS(Sched_Room,A16,Sched_Risk,"Blocked")+COUNTIFS(Sched_Room,A16,Sched_Risk,"Late"))</f>
        <v/>
      </c>
      <c r="I16" s="44">
        <f>IF(A16="","",COUNTIFS(Sched_Room,A16,Sched_Risk,"At risk"))</f>
        <v/>
      </c>
      <c r="J16" s="46">
        <f>IF(A16="","",IF(_xlfn.MINIFS(Sched_OrderBy,Sched_Room,A16,Sched_Status,"&lt;&gt;Ordered",Sched_Status,"&lt;&gt;In production",Sched_Status,"&lt;&gt;Shipped",Sched_Status,"&lt;&gt;Delivered",Sched_Status,"&lt;&gt;Installed")=0,"",_xlfn.MINIFS(Sched_OrderBy,Sched_Room,A16,Sched_Status,"&lt;&gt;Ordered",Sched_Status,"&lt;&gt;In production",Sched_Status,"&lt;&gt;Shipped",Sched_Status,"&lt;&gt;Delivered",Sched_Status,"&lt;&gt;Installed")))</f>
        <v/>
      </c>
    </row>
    <row r="17">
      <c r="A17" s="43" t="n"/>
      <c r="B17" s="43" t="n"/>
      <c r="C17" s="44">
        <f>IF(A17="","",SUMPRODUCT((Sched_Room=A17)*(Sched_Item&lt;&gt;"")))</f>
        <v/>
      </c>
      <c r="D17" s="44">
        <f>IF(A17="","",SUMPRODUCT((Sched_Room=A17)*ISNUMBER(MATCH(Sched_Status,OrderedStatuses,0))))</f>
        <v/>
      </c>
      <c r="E17" s="45">
        <f>IF(A17="","",SUMIFS(Sched_LineGBP,Sched_Room,A17))</f>
        <v/>
      </c>
      <c r="F17" s="45">
        <f>IF(A17="","",SUMPRODUCT((Sched_Room=A17)*Sched_LineGBP*Sched_VAT))</f>
        <v/>
      </c>
      <c r="G17" s="45">
        <f>IF(A17="","",E17+F17)</f>
        <v/>
      </c>
      <c r="H17" s="44">
        <f>IF(A17="","",COUNTIFS(Sched_Room,A17,Sched_Risk,"Blocked")+COUNTIFS(Sched_Room,A17,Sched_Risk,"Late"))</f>
        <v/>
      </c>
      <c r="I17" s="44">
        <f>IF(A17="","",COUNTIFS(Sched_Room,A17,Sched_Risk,"At risk"))</f>
        <v/>
      </c>
      <c r="J17" s="46">
        <f>IF(A17="","",IF(_xlfn.MINIFS(Sched_OrderBy,Sched_Room,A17,Sched_Status,"&lt;&gt;Ordered",Sched_Status,"&lt;&gt;In production",Sched_Status,"&lt;&gt;Shipped",Sched_Status,"&lt;&gt;Delivered",Sched_Status,"&lt;&gt;Installed")=0,"",_xlfn.MINIFS(Sched_OrderBy,Sched_Room,A17,Sched_Status,"&lt;&gt;Ordered",Sched_Status,"&lt;&gt;In production",Sched_Status,"&lt;&gt;Shipped",Sched_Status,"&lt;&gt;Delivered",Sched_Status,"&lt;&gt;Installed")))</f>
        <v/>
      </c>
    </row>
    <row r="18">
      <c r="A18" s="43" t="n"/>
      <c r="B18" s="43" t="n"/>
      <c r="C18" s="44">
        <f>IF(A18="","",SUMPRODUCT((Sched_Room=A18)*(Sched_Item&lt;&gt;"")))</f>
        <v/>
      </c>
      <c r="D18" s="44">
        <f>IF(A18="","",SUMPRODUCT((Sched_Room=A18)*ISNUMBER(MATCH(Sched_Status,OrderedStatuses,0))))</f>
        <v/>
      </c>
      <c r="E18" s="45">
        <f>IF(A18="","",SUMIFS(Sched_LineGBP,Sched_Room,A18))</f>
        <v/>
      </c>
      <c r="F18" s="45">
        <f>IF(A18="","",SUMPRODUCT((Sched_Room=A18)*Sched_LineGBP*Sched_VAT))</f>
        <v/>
      </c>
      <c r="G18" s="45">
        <f>IF(A18="","",E18+F18)</f>
        <v/>
      </c>
      <c r="H18" s="44">
        <f>IF(A18="","",COUNTIFS(Sched_Room,A18,Sched_Risk,"Blocked")+COUNTIFS(Sched_Room,A18,Sched_Risk,"Late"))</f>
        <v/>
      </c>
      <c r="I18" s="44">
        <f>IF(A18="","",COUNTIFS(Sched_Room,A18,Sched_Risk,"At risk"))</f>
        <v/>
      </c>
      <c r="J18" s="46">
        <f>IF(A18="","",IF(_xlfn.MINIFS(Sched_OrderBy,Sched_Room,A18,Sched_Status,"&lt;&gt;Ordered",Sched_Status,"&lt;&gt;In production",Sched_Status,"&lt;&gt;Shipped",Sched_Status,"&lt;&gt;Delivered",Sched_Status,"&lt;&gt;Installed")=0,"",_xlfn.MINIFS(Sched_OrderBy,Sched_Room,A18,Sched_Status,"&lt;&gt;Ordered",Sched_Status,"&lt;&gt;In production",Sched_Status,"&lt;&gt;Shipped",Sched_Status,"&lt;&gt;Delivered",Sched_Status,"&lt;&gt;Installed")))</f>
        <v/>
      </c>
    </row>
    <row r="19">
      <c r="A19" s="43" t="n"/>
      <c r="B19" s="43" t="n"/>
      <c r="C19" s="44">
        <f>IF(A19="","",SUMPRODUCT((Sched_Room=A19)*(Sched_Item&lt;&gt;"")))</f>
        <v/>
      </c>
      <c r="D19" s="44">
        <f>IF(A19="","",SUMPRODUCT((Sched_Room=A19)*ISNUMBER(MATCH(Sched_Status,OrderedStatuses,0))))</f>
        <v/>
      </c>
      <c r="E19" s="45">
        <f>IF(A19="","",SUMIFS(Sched_LineGBP,Sched_Room,A19))</f>
        <v/>
      </c>
      <c r="F19" s="45">
        <f>IF(A19="","",SUMPRODUCT((Sched_Room=A19)*Sched_LineGBP*Sched_VAT))</f>
        <v/>
      </c>
      <c r="G19" s="45">
        <f>IF(A19="","",E19+F19)</f>
        <v/>
      </c>
      <c r="H19" s="44">
        <f>IF(A19="","",COUNTIFS(Sched_Room,A19,Sched_Risk,"Blocked")+COUNTIFS(Sched_Room,A19,Sched_Risk,"Late"))</f>
        <v/>
      </c>
      <c r="I19" s="44">
        <f>IF(A19="","",COUNTIFS(Sched_Room,A19,Sched_Risk,"At risk"))</f>
        <v/>
      </c>
      <c r="J19" s="46">
        <f>IF(A19="","",IF(_xlfn.MINIFS(Sched_OrderBy,Sched_Room,A19,Sched_Status,"&lt;&gt;Ordered",Sched_Status,"&lt;&gt;In production",Sched_Status,"&lt;&gt;Shipped",Sched_Status,"&lt;&gt;Delivered",Sched_Status,"&lt;&gt;Installed")=0,"",_xlfn.MINIFS(Sched_OrderBy,Sched_Room,A19,Sched_Status,"&lt;&gt;Ordered",Sched_Status,"&lt;&gt;In production",Sched_Status,"&lt;&gt;Shipped",Sched_Status,"&lt;&gt;Delivered",Sched_Status,"&lt;&gt;Installed")))</f>
        <v/>
      </c>
    </row>
    <row r="20">
      <c r="A20" s="43" t="n"/>
      <c r="B20" s="43" t="n"/>
      <c r="C20" s="44">
        <f>IF(A20="","",SUMPRODUCT((Sched_Room=A20)*(Sched_Item&lt;&gt;"")))</f>
        <v/>
      </c>
      <c r="D20" s="44">
        <f>IF(A20="","",SUMPRODUCT((Sched_Room=A20)*ISNUMBER(MATCH(Sched_Status,OrderedStatuses,0))))</f>
        <v/>
      </c>
      <c r="E20" s="45">
        <f>IF(A20="","",SUMIFS(Sched_LineGBP,Sched_Room,A20))</f>
        <v/>
      </c>
      <c r="F20" s="45">
        <f>IF(A20="","",SUMPRODUCT((Sched_Room=A20)*Sched_LineGBP*Sched_VAT))</f>
        <v/>
      </c>
      <c r="G20" s="45">
        <f>IF(A20="","",E20+F20)</f>
        <v/>
      </c>
      <c r="H20" s="44">
        <f>IF(A20="","",COUNTIFS(Sched_Room,A20,Sched_Risk,"Blocked")+COUNTIFS(Sched_Room,A20,Sched_Risk,"Late"))</f>
        <v/>
      </c>
      <c r="I20" s="44">
        <f>IF(A20="","",COUNTIFS(Sched_Room,A20,Sched_Risk,"At risk"))</f>
        <v/>
      </c>
      <c r="J20" s="46">
        <f>IF(A20="","",IF(_xlfn.MINIFS(Sched_OrderBy,Sched_Room,A20,Sched_Status,"&lt;&gt;Ordered",Sched_Status,"&lt;&gt;In production",Sched_Status,"&lt;&gt;Shipped",Sched_Status,"&lt;&gt;Delivered",Sched_Status,"&lt;&gt;Installed")=0,"",_xlfn.MINIFS(Sched_OrderBy,Sched_Room,A20,Sched_Status,"&lt;&gt;Ordered",Sched_Status,"&lt;&gt;In production",Sched_Status,"&lt;&gt;Shipped",Sched_Status,"&lt;&gt;Delivered",Sched_Status,"&lt;&gt;Installed")))</f>
        <v/>
      </c>
    </row>
    <row r="21">
      <c r="A21" s="43" t="n"/>
      <c r="B21" s="43" t="n"/>
      <c r="C21" s="44">
        <f>IF(A21="","",SUMPRODUCT((Sched_Room=A21)*(Sched_Item&lt;&gt;"")))</f>
        <v/>
      </c>
      <c r="D21" s="44">
        <f>IF(A21="","",SUMPRODUCT((Sched_Room=A21)*ISNUMBER(MATCH(Sched_Status,OrderedStatuses,0))))</f>
        <v/>
      </c>
      <c r="E21" s="45">
        <f>IF(A21="","",SUMIFS(Sched_LineGBP,Sched_Room,A21))</f>
        <v/>
      </c>
      <c r="F21" s="45">
        <f>IF(A21="","",SUMPRODUCT((Sched_Room=A21)*Sched_LineGBP*Sched_VAT))</f>
        <v/>
      </c>
      <c r="G21" s="45">
        <f>IF(A21="","",E21+F21)</f>
        <v/>
      </c>
      <c r="H21" s="44">
        <f>IF(A21="","",COUNTIFS(Sched_Room,A21,Sched_Risk,"Blocked")+COUNTIFS(Sched_Room,A21,Sched_Risk,"Late"))</f>
        <v/>
      </c>
      <c r="I21" s="44">
        <f>IF(A21="","",COUNTIFS(Sched_Room,A21,Sched_Risk,"At risk"))</f>
        <v/>
      </c>
      <c r="J21" s="46">
        <f>IF(A21="","",IF(_xlfn.MINIFS(Sched_OrderBy,Sched_Room,A21,Sched_Status,"&lt;&gt;Ordered",Sched_Status,"&lt;&gt;In production",Sched_Status,"&lt;&gt;Shipped",Sched_Status,"&lt;&gt;Delivered",Sched_Status,"&lt;&gt;Installed")=0,"",_xlfn.MINIFS(Sched_OrderBy,Sched_Room,A21,Sched_Status,"&lt;&gt;Ordered",Sched_Status,"&lt;&gt;In production",Sched_Status,"&lt;&gt;Shipped",Sched_Status,"&lt;&gt;Delivered",Sched_Status,"&lt;&gt;Installed")))</f>
        <v/>
      </c>
    </row>
    <row r="22">
      <c r="A22" s="43" t="n"/>
      <c r="B22" s="43" t="n"/>
      <c r="C22" s="44">
        <f>IF(A22="","",SUMPRODUCT((Sched_Room=A22)*(Sched_Item&lt;&gt;"")))</f>
        <v/>
      </c>
      <c r="D22" s="44">
        <f>IF(A22="","",SUMPRODUCT((Sched_Room=A22)*ISNUMBER(MATCH(Sched_Status,OrderedStatuses,0))))</f>
        <v/>
      </c>
      <c r="E22" s="45">
        <f>IF(A22="","",SUMIFS(Sched_LineGBP,Sched_Room,A22))</f>
        <v/>
      </c>
      <c r="F22" s="45">
        <f>IF(A22="","",SUMPRODUCT((Sched_Room=A22)*Sched_LineGBP*Sched_VAT))</f>
        <v/>
      </c>
      <c r="G22" s="45">
        <f>IF(A22="","",E22+F22)</f>
        <v/>
      </c>
      <c r="H22" s="44">
        <f>IF(A22="","",COUNTIFS(Sched_Room,A22,Sched_Risk,"Blocked")+COUNTIFS(Sched_Room,A22,Sched_Risk,"Late"))</f>
        <v/>
      </c>
      <c r="I22" s="44">
        <f>IF(A22="","",COUNTIFS(Sched_Room,A22,Sched_Risk,"At risk"))</f>
        <v/>
      </c>
      <c r="J22" s="46">
        <f>IF(A22="","",IF(_xlfn.MINIFS(Sched_OrderBy,Sched_Room,A22,Sched_Status,"&lt;&gt;Ordered",Sched_Status,"&lt;&gt;In production",Sched_Status,"&lt;&gt;Shipped",Sched_Status,"&lt;&gt;Delivered",Sched_Status,"&lt;&gt;Installed")=0,"",_xlfn.MINIFS(Sched_OrderBy,Sched_Room,A22,Sched_Status,"&lt;&gt;Ordered",Sched_Status,"&lt;&gt;In production",Sched_Status,"&lt;&gt;Shipped",Sched_Status,"&lt;&gt;Delivered",Sched_Status,"&lt;&gt;Installed")))</f>
        <v/>
      </c>
    </row>
    <row r="23">
      <c r="A23" s="43" t="n"/>
      <c r="B23" s="43" t="n"/>
      <c r="C23" s="44">
        <f>IF(A23="","",SUMPRODUCT((Sched_Room=A23)*(Sched_Item&lt;&gt;"")))</f>
        <v/>
      </c>
      <c r="D23" s="44">
        <f>IF(A23="","",SUMPRODUCT((Sched_Room=A23)*ISNUMBER(MATCH(Sched_Status,OrderedStatuses,0))))</f>
        <v/>
      </c>
      <c r="E23" s="45">
        <f>IF(A23="","",SUMIFS(Sched_LineGBP,Sched_Room,A23))</f>
        <v/>
      </c>
      <c r="F23" s="45">
        <f>IF(A23="","",SUMPRODUCT((Sched_Room=A23)*Sched_LineGBP*Sched_VAT))</f>
        <v/>
      </c>
      <c r="G23" s="45">
        <f>IF(A23="","",E23+F23)</f>
        <v/>
      </c>
      <c r="H23" s="44">
        <f>IF(A23="","",COUNTIFS(Sched_Room,A23,Sched_Risk,"Blocked")+COUNTIFS(Sched_Room,A23,Sched_Risk,"Late"))</f>
        <v/>
      </c>
      <c r="I23" s="44">
        <f>IF(A23="","",COUNTIFS(Sched_Room,A23,Sched_Risk,"At risk"))</f>
        <v/>
      </c>
      <c r="J23" s="46">
        <f>IF(A23="","",IF(_xlfn.MINIFS(Sched_OrderBy,Sched_Room,A23,Sched_Status,"&lt;&gt;Ordered",Sched_Status,"&lt;&gt;In production",Sched_Status,"&lt;&gt;Shipped",Sched_Status,"&lt;&gt;Delivered",Sched_Status,"&lt;&gt;Installed")=0,"",_xlfn.MINIFS(Sched_OrderBy,Sched_Room,A23,Sched_Status,"&lt;&gt;Ordered",Sched_Status,"&lt;&gt;In production",Sched_Status,"&lt;&gt;Shipped",Sched_Status,"&lt;&gt;Delivered",Sched_Status,"&lt;&gt;Installed")))</f>
        <v/>
      </c>
    </row>
    <row r="24">
      <c r="A24" s="43" t="n"/>
      <c r="B24" s="43" t="n"/>
      <c r="C24" s="44">
        <f>IF(A24="","",SUMPRODUCT((Sched_Room=A24)*(Sched_Item&lt;&gt;"")))</f>
        <v/>
      </c>
      <c r="D24" s="44">
        <f>IF(A24="","",SUMPRODUCT((Sched_Room=A24)*ISNUMBER(MATCH(Sched_Status,OrderedStatuses,0))))</f>
        <v/>
      </c>
      <c r="E24" s="45">
        <f>IF(A24="","",SUMIFS(Sched_LineGBP,Sched_Room,A24))</f>
        <v/>
      </c>
      <c r="F24" s="45">
        <f>IF(A24="","",SUMPRODUCT((Sched_Room=A24)*Sched_LineGBP*Sched_VAT))</f>
        <v/>
      </c>
      <c r="G24" s="45">
        <f>IF(A24="","",E24+F24)</f>
        <v/>
      </c>
      <c r="H24" s="44">
        <f>IF(A24="","",COUNTIFS(Sched_Room,A24,Sched_Risk,"Blocked")+COUNTIFS(Sched_Room,A24,Sched_Risk,"Late"))</f>
        <v/>
      </c>
      <c r="I24" s="44">
        <f>IF(A24="","",COUNTIFS(Sched_Room,A24,Sched_Risk,"At risk"))</f>
        <v/>
      </c>
      <c r="J24" s="46">
        <f>IF(A24="","",IF(_xlfn.MINIFS(Sched_OrderBy,Sched_Room,A24,Sched_Status,"&lt;&gt;Ordered",Sched_Status,"&lt;&gt;In production",Sched_Status,"&lt;&gt;Shipped",Sched_Status,"&lt;&gt;Delivered",Sched_Status,"&lt;&gt;Installed")=0,"",_xlfn.MINIFS(Sched_OrderBy,Sched_Room,A24,Sched_Status,"&lt;&gt;Ordered",Sched_Status,"&lt;&gt;In production",Sched_Status,"&lt;&gt;Shipped",Sched_Status,"&lt;&gt;Delivered",Sched_Status,"&lt;&gt;Installed")))</f>
        <v/>
      </c>
    </row>
    <row r="25">
      <c r="A25" s="43" t="n"/>
      <c r="B25" s="43" t="n"/>
      <c r="C25" s="44">
        <f>IF(A25="","",SUMPRODUCT((Sched_Room=A25)*(Sched_Item&lt;&gt;"")))</f>
        <v/>
      </c>
      <c r="D25" s="44">
        <f>IF(A25="","",SUMPRODUCT((Sched_Room=A25)*ISNUMBER(MATCH(Sched_Status,OrderedStatuses,0))))</f>
        <v/>
      </c>
      <c r="E25" s="45">
        <f>IF(A25="","",SUMIFS(Sched_LineGBP,Sched_Room,A25))</f>
        <v/>
      </c>
      <c r="F25" s="45">
        <f>IF(A25="","",SUMPRODUCT((Sched_Room=A25)*Sched_LineGBP*Sched_VAT))</f>
        <v/>
      </c>
      <c r="G25" s="45">
        <f>IF(A25="","",E25+F25)</f>
        <v/>
      </c>
      <c r="H25" s="44">
        <f>IF(A25="","",COUNTIFS(Sched_Room,A25,Sched_Risk,"Blocked")+COUNTIFS(Sched_Room,A25,Sched_Risk,"Late"))</f>
        <v/>
      </c>
      <c r="I25" s="44">
        <f>IF(A25="","",COUNTIFS(Sched_Room,A25,Sched_Risk,"At risk"))</f>
        <v/>
      </c>
      <c r="J25" s="46">
        <f>IF(A25="","",IF(_xlfn.MINIFS(Sched_OrderBy,Sched_Room,A25,Sched_Status,"&lt;&gt;Ordered",Sched_Status,"&lt;&gt;In production",Sched_Status,"&lt;&gt;Shipped",Sched_Status,"&lt;&gt;Delivered",Sched_Status,"&lt;&gt;Installed")=0,"",_xlfn.MINIFS(Sched_OrderBy,Sched_Room,A25,Sched_Status,"&lt;&gt;Ordered",Sched_Status,"&lt;&gt;In production",Sched_Status,"&lt;&gt;Shipped",Sched_Status,"&lt;&gt;Delivered",Sched_Status,"&lt;&gt;Installed")))</f>
        <v/>
      </c>
    </row>
    <row r="26">
      <c r="A26" s="43" t="n"/>
      <c r="B26" s="43" t="n"/>
      <c r="C26" s="44">
        <f>IF(A26="","",SUMPRODUCT((Sched_Room=A26)*(Sched_Item&lt;&gt;"")))</f>
        <v/>
      </c>
      <c r="D26" s="44">
        <f>IF(A26="","",SUMPRODUCT((Sched_Room=A26)*ISNUMBER(MATCH(Sched_Status,OrderedStatuses,0))))</f>
        <v/>
      </c>
      <c r="E26" s="45">
        <f>IF(A26="","",SUMIFS(Sched_LineGBP,Sched_Room,A26))</f>
        <v/>
      </c>
      <c r="F26" s="45">
        <f>IF(A26="","",SUMPRODUCT((Sched_Room=A26)*Sched_LineGBP*Sched_VAT))</f>
        <v/>
      </c>
      <c r="G26" s="45">
        <f>IF(A26="","",E26+F26)</f>
        <v/>
      </c>
      <c r="H26" s="44">
        <f>IF(A26="","",COUNTIFS(Sched_Room,A26,Sched_Risk,"Blocked")+COUNTIFS(Sched_Room,A26,Sched_Risk,"Late"))</f>
        <v/>
      </c>
      <c r="I26" s="44">
        <f>IF(A26="","",COUNTIFS(Sched_Room,A26,Sched_Risk,"At risk"))</f>
        <v/>
      </c>
      <c r="J26" s="46">
        <f>IF(A26="","",IF(_xlfn.MINIFS(Sched_OrderBy,Sched_Room,A26,Sched_Status,"&lt;&gt;Ordered",Sched_Status,"&lt;&gt;In production",Sched_Status,"&lt;&gt;Shipped",Sched_Status,"&lt;&gt;Delivered",Sched_Status,"&lt;&gt;Installed")=0,"",_xlfn.MINIFS(Sched_OrderBy,Sched_Room,A26,Sched_Status,"&lt;&gt;Ordered",Sched_Status,"&lt;&gt;In production",Sched_Status,"&lt;&gt;Shipped",Sched_Status,"&lt;&gt;Delivered",Sched_Status,"&lt;&gt;Installed")))</f>
        <v/>
      </c>
    </row>
    <row r="27">
      <c r="A27" s="43" t="n"/>
      <c r="B27" s="43" t="n"/>
      <c r="C27" s="44">
        <f>IF(A27="","",SUMPRODUCT((Sched_Room=A27)*(Sched_Item&lt;&gt;"")))</f>
        <v/>
      </c>
      <c r="D27" s="44">
        <f>IF(A27="","",SUMPRODUCT((Sched_Room=A27)*ISNUMBER(MATCH(Sched_Status,OrderedStatuses,0))))</f>
        <v/>
      </c>
      <c r="E27" s="45">
        <f>IF(A27="","",SUMIFS(Sched_LineGBP,Sched_Room,A27))</f>
        <v/>
      </c>
      <c r="F27" s="45">
        <f>IF(A27="","",SUMPRODUCT((Sched_Room=A27)*Sched_LineGBP*Sched_VAT))</f>
        <v/>
      </c>
      <c r="G27" s="45">
        <f>IF(A27="","",E27+F27)</f>
        <v/>
      </c>
      <c r="H27" s="44">
        <f>IF(A27="","",COUNTIFS(Sched_Room,A27,Sched_Risk,"Blocked")+COUNTIFS(Sched_Room,A27,Sched_Risk,"Late"))</f>
        <v/>
      </c>
      <c r="I27" s="44">
        <f>IF(A27="","",COUNTIFS(Sched_Room,A27,Sched_Risk,"At risk"))</f>
        <v/>
      </c>
      <c r="J27" s="46">
        <f>IF(A27="","",IF(_xlfn.MINIFS(Sched_OrderBy,Sched_Room,A27,Sched_Status,"&lt;&gt;Ordered",Sched_Status,"&lt;&gt;In production",Sched_Status,"&lt;&gt;Shipped",Sched_Status,"&lt;&gt;Delivered",Sched_Status,"&lt;&gt;Installed")=0,"",_xlfn.MINIFS(Sched_OrderBy,Sched_Room,A27,Sched_Status,"&lt;&gt;Ordered",Sched_Status,"&lt;&gt;In production",Sched_Status,"&lt;&gt;Shipped",Sched_Status,"&lt;&gt;Delivered",Sched_Status,"&lt;&gt;Installed")))</f>
        <v/>
      </c>
    </row>
    <row r="28">
      <c r="A28" s="43" t="n"/>
      <c r="B28" s="43" t="n"/>
      <c r="C28" s="44">
        <f>IF(A28="","",SUMPRODUCT((Sched_Room=A28)*(Sched_Item&lt;&gt;"")))</f>
        <v/>
      </c>
      <c r="D28" s="44">
        <f>IF(A28="","",SUMPRODUCT((Sched_Room=A28)*ISNUMBER(MATCH(Sched_Status,OrderedStatuses,0))))</f>
        <v/>
      </c>
      <c r="E28" s="45">
        <f>IF(A28="","",SUMIFS(Sched_LineGBP,Sched_Room,A28))</f>
        <v/>
      </c>
      <c r="F28" s="45">
        <f>IF(A28="","",SUMPRODUCT((Sched_Room=A28)*Sched_LineGBP*Sched_VAT))</f>
        <v/>
      </c>
      <c r="G28" s="45">
        <f>IF(A28="","",E28+F28)</f>
        <v/>
      </c>
      <c r="H28" s="44">
        <f>IF(A28="","",COUNTIFS(Sched_Room,A28,Sched_Risk,"Blocked")+COUNTIFS(Sched_Room,A28,Sched_Risk,"Late"))</f>
        <v/>
      </c>
      <c r="I28" s="44">
        <f>IF(A28="","",COUNTIFS(Sched_Room,A28,Sched_Risk,"At risk"))</f>
        <v/>
      </c>
      <c r="J28" s="46">
        <f>IF(A28="","",IF(_xlfn.MINIFS(Sched_OrderBy,Sched_Room,A28,Sched_Status,"&lt;&gt;Ordered",Sched_Status,"&lt;&gt;In production",Sched_Status,"&lt;&gt;Shipped",Sched_Status,"&lt;&gt;Delivered",Sched_Status,"&lt;&gt;Installed")=0,"",_xlfn.MINIFS(Sched_OrderBy,Sched_Room,A28,Sched_Status,"&lt;&gt;Ordered",Sched_Status,"&lt;&gt;In production",Sched_Status,"&lt;&gt;Shipped",Sched_Status,"&lt;&gt;Delivered",Sched_Status,"&lt;&gt;Installed")))</f>
        <v/>
      </c>
    </row>
    <row r="29">
      <c r="A29" s="43" t="n"/>
      <c r="B29" s="43" t="n"/>
      <c r="C29" s="44">
        <f>IF(A29="","",SUMPRODUCT((Sched_Room=A29)*(Sched_Item&lt;&gt;"")))</f>
        <v/>
      </c>
      <c r="D29" s="44">
        <f>IF(A29="","",SUMPRODUCT((Sched_Room=A29)*ISNUMBER(MATCH(Sched_Status,OrderedStatuses,0))))</f>
        <v/>
      </c>
      <c r="E29" s="45">
        <f>IF(A29="","",SUMIFS(Sched_LineGBP,Sched_Room,A29))</f>
        <v/>
      </c>
      <c r="F29" s="45">
        <f>IF(A29="","",SUMPRODUCT((Sched_Room=A29)*Sched_LineGBP*Sched_VAT))</f>
        <v/>
      </c>
      <c r="G29" s="45">
        <f>IF(A29="","",E29+F29)</f>
        <v/>
      </c>
      <c r="H29" s="44">
        <f>IF(A29="","",COUNTIFS(Sched_Room,A29,Sched_Risk,"Blocked")+COUNTIFS(Sched_Room,A29,Sched_Risk,"Late"))</f>
        <v/>
      </c>
      <c r="I29" s="44">
        <f>IF(A29="","",COUNTIFS(Sched_Room,A29,Sched_Risk,"At risk"))</f>
        <v/>
      </c>
      <c r="J29" s="46">
        <f>IF(A29="","",IF(_xlfn.MINIFS(Sched_OrderBy,Sched_Room,A29,Sched_Status,"&lt;&gt;Ordered",Sched_Status,"&lt;&gt;In production",Sched_Status,"&lt;&gt;Shipped",Sched_Status,"&lt;&gt;Delivered",Sched_Status,"&lt;&gt;Installed")=0,"",_xlfn.MINIFS(Sched_OrderBy,Sched_Room,A29,Sched_Status,"&lt;&gt;Ordered",Sched_Status,"&lt;&gt;In production",Sched_Status,"&lt;&gt;Shipped",Sched_Status,"&lt;&gt;Delivered",Sched_Status,"&lt;&gt;Installed")))</f>
        <v/>
      </c>
    </row>
    <row r="30">
      <c r="A30" s="43" t="n"/>
      <c r="B30" s="43" t="n"/>
      <c r="C30" s="44">
        <f>IF(A30="","",SUMPRODUCT((Sched_Room=A30)*(Sched_Item&lt;&gt;"")))</f>
        <v/>
      </c>
      <c r="D30" s="44">
        <f>IF(A30="","",SUMPRODUCT((Sched_Room=A30)*ISNUMBER(MATCH(Sched_Status,OrderedStatuses,0))))</f>
        <v/>
      </c>
      <c r="E30" s="45">
        <f>IF(A30="","",SUMIFS(Sched_LineGBP,Sched_Room,A30))</f>
        <v/>
      </c>
      <c r="F30" s="45">
        <f>IF(A30="","",SUMPRODUCT((Sched_Room=A30)*Sched_LineGBP*Sched_VAT))</f>
        <v/>
      </c>
      <c r="G30" s="45">
        <f>IF(A30="","",E30+F30)</f>
        <v/>
      </c>
      <c r="H30" s="44">
        <f>IF(A30="","",COUNTIFS(Sched_Room,A30,Sched_Risk,"Blocked")+COUNTIFS(Sched_Room,A30,Sched_Risk,"Late"))</f>
        <v/>
      </c>
      <c r="I30" s="44">
        <f>IF(A30="","",COUNTIFS(Sched_Room,A30,Sched_Risk,"At risk"))</f>
        <v/>
      </c>
      <c r="J30" s="46">
        <f>IF(A30="","",IF(_xlfn.MINIFS(Sched_OrderBy,Sched_Room,A30,Sched_Status,"&lt;&gt;Ordered",Sched_Status,"&lt;&gt;In production",Sched_Status,"&lt;&gt;Shipped",Sched_Status,"&lt;&gt;Delivered",Sched_Status,"&lt;&gt;Installed")=0,"",_xlfn.MINIFS(Sched_OrderBy,Sched_Room,A30,Sched_Status,"&lt;&gt;Ordered",Sched_Status,"&lt;&gt;In production",Sched_Status,"&lt;&gt;Shipped",Sched_Status,"&lt;&gt;Delivered",Sched_Status,"&lt;&gt;Installed")))</f>
        <v/>
      </c>
    </row>
    <row r="31">
      <c r="A31" s="43" t="n"/>
      <c r="B31" s="43" t="n"/>
      <c r="C31" s="44">
        <f>IF(A31="","",SUMPRODUCT((Sched_Room=A31)*(Sched_Item&lt;&gt;"")))</f>
        <v/>
      </c>
      <c r="D31" s="44">
        <f>IF(A31="","",SUMPRODUCT((Sched_Room=A31)*ISNUMBER(MATCH(Sched_Status,OrderedStatuses,0))))</f>
        <v/>
      </c>
      <c r="E31" s="45">
        <f>IF(A31="","",SUMIFS(Sched_LineGBP,Sched_Room,A31))</f>
        <v/>
      </c>
      <c r="F31" s="45">
        <f>IF(A31="","",SUMPRODUCT((Sched_Room=A31)*Sched_LineGBP*Sched_VAT))</f>
        <v/>
      </c>
      <c r="G31" s="45">
        <f>IF(A31="","",E31+F31)</f>
        <v/>
      </c>
      <c r="H31" s="44">
        <f>IF(A31="","",COUNTIFS(Sched_Room,A31,Sched_Risk,"Blocked")+COUNTIFS(Sched_Room,A31,Sched_Risk,"Late"))</f>
        <v/>
      </c>
      <c r="I31" s="44">
        <f>IF(A31="","",COUNTIFS(Sched_Room,A31,Sched_Risk,"At risk"))</f>
        <v/>
      </c>
      <c r="J31" s="46">
        <f>IF(A31="","",IF(_xlfn.MINIFS(Sched_OrderBy,Sched_Room,A31,Sched_Status,"&lt;&gt;Ordered",Sched_Status,"&lt;&gt;In production",Sched_Status,"&lt;&gt;Shipped",Sched_Status,"&lt;&gt;Delivered",Sched_Status,"&lt;&gt;Installed")=0,"",_xlfn.MINIFS(Sched_OrderBy,Sched_Room,A31,Sched_Status,"&lt;&gt;Ordered",Sched_Status,"&lt;&gt;In production",Sched_Status,"&lt;&gt;Shipped",Sched_Status,"&lt;&gt;Delivered",Sched_Status,"&lt;&gt;Installed")))</f>
        <v/>
      </c>
    </row>
    <row r="32">
      <c r="A32" s="43" t="n"/>
      <c r="B32" s="43" t="n"/>
      <c r="C32" s="44">
        <f>IF(A32="","",SUMPRODUCT((Sched_Room=A32)*(Sched_Item&lt;&gt;"")))</f>
        <v/>
      </c>
      <c r="D32" s="44">
        <f>IF(A32="","",SUMPRODUCT((Sched_Room=A32)*ISNUMBER(MATCH(Sched_Status,OrderedStatuses,0))))</f>
        <v/>
      </c>
      <c r="E32" s="45">
        <f>IF(A32="","",SUMIFS(Sched_LineGBP,Sched_Room,A32))</f>
        <v/>
      </c>
      <c r="F32" s="45">
        <f>IF(A32="","",SUMPRODUCT((Sched_Room=A32)*Sched_LineGBP*Sched_VAT))</f>
        <v/>
      </c>
      <c r="G32" s="45">
        <f>IF(A32="","",E32+F32)</f>
        <v/>
      </c>
      <c r="H32" s="44">
        <f>IF(A32="","",COUNTIFS(Sched_Room,A32,Sched_Risk,"Blocked")+COUNTIFS(Sched_Room,A32,Sched_Risk,"Late"))</f>
        <v/>
      </c>
      <c r="I32" s="44">
        <f>IF(A32="","",COUNTIFS(Sched_Room,A32,Sched_Risk,"At risk"))</f>
        <v/>
      </c>
      <c r="J32" s="46">
        <f>IF(A32="","",IF(_xlfn.MINIFS(Sched_OrderBy,Sched_Room,A32,Sched_Status,"&lt;&gt;Ordered",Sched_Status,"&lt;&gt;In production",Sched_Status,"&lt;&gt;Shipped",Sched_Status,"&lt;&gt;Delivered",Sched_Status,"&lt;&gt;Installed")=0,"",_xlfn.MINIFS(Sched_OrderBy,Sched_Room,A32,Sched_Status,"&lt;&gt;Ordered",Sched_Status,"&lt;&gt;In production",Sched_Status,"&lt;&gt;Shipped",Sched_Status,"&lt;&gt;Delivered",Sched_Status,"&lt;&gt;Installed")))</f>
        <v/>
      </c>
    </row>
    <row r="33">
      <c r="A33" s="43" t="n"/>
      <c r="B33" s="43" t="n"/>
      <c r="C33" s="44">
        <f>IF(A33="","",SUMPRODUCT((Sched_Room=A33)*(Sched_Item&lt;&gt;"")))</f>
        <v/>
      </c>
      <c r="D33" s="44">
        <f>IF(A33="","",SUMPRODUCT((Sched_Room=A33)*ISNUMBER(MATCH(Sched_Status,OrderedStatuses,0))))</f>
        <v/>
      </c>
      <c r="E33" s="45">
        <f>IF(A33="","",SUMIFS(Sched_LineGBP,Sched_Room,A33))</f>
        <v/>
      </c>
      <c r="F33" s="45">
        <f>IF(A33="","",SUMPRODUCT((Sched_Room=A33)*Sched_LineGBP*Sched_VAT))</f>
        <v/>
      </c>
      <c r="G33" s="45">
        <f>IF(A33="","",E33+F33)</f>
        <v/>
      </c>
      <c r="H33" s="44">
        <f>IF(A33="","",COUNTIFS(Sched_Room,A33,Sched_Risk,"Blocked")+COUNTIFS(Sched_Room,A33,Sched_Risk,"Late"))</f>
        <v/>
      </c>
      <c r="I33" s="44">
        <f>IF(A33="","",COUNTIFS(Sched_Room,A33,Sched_Risk,"At risk"))</f>
        <v/>
      </c>
      <c r="J33" s="46">
        <f>IF(A33="","",IF(_xlfn.MINIFS(Sched_OrderBy,Sched_Room,A33,Sched_Status,"&lt;&gt;Ordered",Sched_Status,"&lt;&gt;In production",Sched_Status,"&lt;&gt;Shipped",Sched_Status,"&lt;&gt;Delivered",Sched_Status,"&lt;&gt;Installed")=0,"",_xlfn.MINIFS(Sched_OrderBy,Sched_Room,A33,Sched_Status,"&lt;&gt;Ordered",Sched_Status,"&lt;&gt;In production",Sched_Status,"&lt;&gt;Shipped",Sched_Status,"&lt;&gt;Delivered",Sched_Status,"&lt;&gt;Installed")))</f>
        <v/>
      </c>
    </row>
    <row r="34">
      <c r="A34" s="43" t="n"/>
      <c r="B34" s="43" t="n"/>
      <c r="C34" s="44">
        <f>IF(A34="","",SUMPRODUCT((Sched_Room=A34)*(Sched_Item&lt;&gt;"")))</f>
        <v/>
      </c>
      <c r="D34" s="44">
        <f>IF(A34="","",SUMPRODUCT((Sched_Room=A34)*ISNUMBER(MATCH(Sched_Status,OrderedStatuses,0))))</f>
        <v/>
      </c>
      <c r="E34" s="45">
        <f>IF(A34="","",SUMIFS(Sched_LineGBP,Sched_Room,A34))</f>
        <v/>
      </c>
      <c r="F34" s="45">
        <f>IF(A34="","",SUMPRODUCT((Sched_Room=A34)*Sched_LineGBP*Sched_VAT))</f>
        <v/>
      </c>
      <c r="G34" s="45">
        <f>IF(A34="","",E34+F34)</f>
        <v/>
      </c>
      <c r="H34" s="44">
        <f>IF(A34="","",COUNTIFS(Sched_Room,A34,Sched_Risk,"Blocked")+COUNTIFS(Sched_Room,A34,Sched_Risk,"Late"))</f>
        <v/>
      </c>
      <c r="I34" s="44">
        <f>IF(A34="","",COUNTIFS(Sched_Room,A34,Sched_Risk,"At risk"))</f>
        <v/>
      </c>
      <c r="J34" s="46">
        <f>IF(A34="","",IF(_xlfn.MINIFS(Sched_OrderBy,Sched_Room,A34,Sched_Status,"&lt;&gt;Ordered",Sched_Status,"&lt;&gt;In production",Sched_Status,"&lt;&gt;Shipped",Sched_Status,"&lt;&gt;Delivered",Sched_Status,"&lt;&gt;Installed")=0,"",_xlfn.MINIFS(Sched_OrderBy,Sched_Room,A34,Sched_Status,"&lt;&gt;Ordered",Sched_Status,"&lt;&gt;In production",Sched_Status,"&lt;&gt;Shipped",Sched_Status,"&lt;&gt;Delivered",Sched_Status,"&lt;&gt;Installed")))</f>
        <v/>
      </c>
    </row>
    <row r="35">
      <c r="A35" s="47" t="inlineStr">
        <is>
          <t>Total</t>
        </is>
      </c>
      <c r="B35" s="48" t="n"/>
      <c r="C35" s="49">
        <f>SUM(C5:C34)</f>
        <v/>
      </c>
      <c r="D35" s="49">
        <f>SUM(D5:D34)</f>
        <v/>
      </c>
      <c r="E35" s="50">
        <f>SUM(E5:E34)</f>
        <v/>
      </c>
      <c r="F35" s="50">
        <f>SUM(F5:F34)</f>
        <v/>
      </c>
      <c r="G35" s="50">
        <f>SUM(G5:G34)</f>
        <v/>
      </c>
      <c r="H35" s="49">
        <f>SUM(H5:H34)</f>
        <v/>
      </c>
      <c r="I35" s="49">
        <f>SUM(I5:I34)</f>
        <v/>
      </c>
      <c r="J35" s="48" t="n"/>
    </row>
    <row r="37">
      <c r="A37" s="51" t="inlineStr">
        <is>
          <t>Check: schedule lines with a room not listed above</t>
        </is>
      </c>
      <c r="C37" s="52">
        <f>COUNTA(Sched_Item)-C35</f>
        <v/>
      </c>
    </row>
    <row r="38">
      <c r="A38" s="51" t="inlineStr">
        <is>
          <t>Check: room total matches schedule total</t>
        </is>
      </c>
      <c r="C38" s="53">
        <f>IF(ROUND(E35-SUM(Sched_LineGBP),2)=0,"Yes","No")</f>
        <v/>
      </c>
    </row>
  </sheetData>
  <sheetProtection selectLockedCells="0" selectUnlockedCells="0" sheet="1" objects="0" insertRows="1" insertHyperlinks="1" autoFilter="1" scenarios="0" formatColumns="0" deleteColumns="1" insertColumns="1" pivotTables="1" deleteRows="1" formatCells="1" formatRows="1" sort="1"/>
  <conditionalFormatting sqref="C37">
    <cfRule type="expression" priority="1" dxfId="0">
      <formula>C37&gt;0</formula>
    </cfRule>
  </conditionalFormatting>
  <conditionalFormatting sqref="C38">
    <cfRule type="expression" priority="2" dxfId="0">
      <formula>C38="No"</formula>
    </cfRule>
  </conditionalFormatting>
  <pageMargins left="0.75" right="0.75" top="1" bottom="1" header="0.5" footer="0.5"/>
  <pageSetup orientation="landscape" paperSize="9" fitToHeight="0" fitToWidth="1"/>
  <headerFooter>
    <oddHeader/>
    <oddFooter>&amp;L&amp;8 Made by Techstyles · techstyles.ai&amp;R&amp;8 Page &amp;P of &amp;N</oddFooter>
    <evenHeader/>
    <evenFooter/>
    <firstHeader/>
    <firstFooter/>
  </headerFooter>
</worksheet>
</file>

<file path=xl/worksheets/sheet4.xml><?xml version="1.0" encoding="utf-8"?>
<worksheet xmlns="http://schemas.openxmlformats.org/spreadsheetml/2006/main">
  <sheetPr>
    <tabColor rgb="001F1D1A"/>
    <outlinePr summaryBelow="1" summaryRight="1"/>
    <pageSetUpPr fitToPage="1"/>
  </sheetPr>
  <dimension ref="A1:O48"/>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9" customWidth="1" min="3" max="3"/>
    <col width="14" customWidth="1" min="4" max="4"/>
    <col width="26" customWidth="1" min="5" max="5"/>
    <col width="10" customWidth="1" min="6" max="6"/>
    <col width="26" customWidth="1" min="7" max="7"/>
    <col width="7" customWidth="1" min="8" max="8"/>
    <col width="9" customWidth="1" min="9" max="9"/>
    <col width="14" customWidth="1" min="10" max="10"/>
    <col width="14" customWidth="1" min="11" max="11"/>
    <col width="9" customWidth="1" min="12" max="12"/>
    <col width="8" customWidth="1" min="13" max="13"/>
    <col width="15" customWidth="1" min="14" max="14"/>
  </cols>
  <sheetData>
    <row r="1" ht="30" customHeight="1">
      <c r="A1" s="15" t="inlineStr">
        <is>
          <t>Supplier summary</t>
        </is>
      </c>
      <c r="B1" s="1" t="n"/>
      <c r="C1" s="1" t="n"/>
      <c r="D1" s="1" t="n"/>
      <c r="E1" s="1" t="n"/>
      <c r="F1" s="1" t="n"/>
      <c r="G1" s="1" t="n"/>
      <c r="H1" s="1" t="n"/>
      <c r="I1" s="1" t="n"/>
      <c r="J1" s="1" t="n"/>
      <c r="K1" s="1" t="n"/>
      <c r="L1" s="1" t="n"/>
      <c r="M1" s="1" t="n"/>
      <c r="N1" s="1" t="n"/>
      <c r="O1" s="1" t="n"/>
    </row>
    <row r="2">
      <c r="A2" s="17" t="inlineStr">
        <is>
          <t>List suppliers in column A; they feed the Supplier dropdown on the Schedule. Spend in supplier currency counts only lines priced in the currency shown in column C.</t>
        </is>
      </c>
      <c r="B2" s="1" t="n"/>
      <c r="C2" s="1" t="n"/>
      <c r="D2" s="1" t="n"/>
      <c r="E2" s="1" t="n"/>
      <c r="F2" s="1" t="n"/>
      <c r="G2" s="1" t="n"/>
      <c r="H2" s="1" t="n"/>
      <c r="I2" s="1" t="n"/>
      <c r="J2" s="1" t="n"/>
      <c r="K2" s="1" t="n"/>
      <c r="L2" s="1" t="n"/>
      <c r="M2" s="1" t="n"/>
      <c r="N2" s="1" t="n"/>
      <c r="O2" s="1" t="n"/>
    </row>
    <row r="3">
      <c r="A3" s="1" t="n"/>
      <c r="B3" s="1" t="n"/>
      <c r="C3" s="1" t="n"/>
      <c r="D3" s="1" t="n"/>
      <c r="E3" s="1" t="n"/>
      <c r="F3" s="1" t="n"/>
      <c r="G3" s="1" t="n"/>
      <c r="H3" s="1" t="n"/>
      <c r="I3" s="1" t="n"/>
      <c r="J3" s="1" t="n"/>
      <c r="K3" s="1" t="n"/>
      <c r="L3" s="1" t="n"/>
      <c r="M3" s="1" t="n"/>
      <c r="N3" s="1" t="n"/>
      <c r="O3" s="1" t="n"/>
    </row>
    <row r="4" ht="44" customHeight="1">
      <c r="A4" s="41" t="inlineStr">
        <is>
          <t>Supplier</t>
        </is>
      </c>
      <c r="B4" s="41" t="inlineStr">
        <is>
          <t>Country</t>
        </is>
      </c>
      <c r="C4" s="41" t="inlineStr">
        <is>
          <t>Currency</t>
        </is>
      </c>
      <c r="D4" s="41" t="inlineStr">
        <is>
          <t>Contact</t>
        </is>
      </c>
      <c r="E4" s="41" t="inlineStr">
        <is>
          <t>Email</t>
        </is>
      </c>
      <c r="F4" s="41" t="inlineStr">
        <is>
          <t>Typical lead time (weeks)</t>
        </is>
      </c>
      <c r="G4" s="41" t="inlineStr">
        <is>
          <t>Account / terms notes</t>
        </is>
      </c>
      <c r="H4" s="42" t="inlineStr">
        <is>
          <t>Lines</t>
        </is>
      </c>
      <c r="I4" s="42" t="inlineStr">
        <is>
          <t>Not yet ordered</t>
        </is>
      </c>
      <c r="J4" s="42" t="inlineStr">
        <is>
          <t>Spend ex VAT (GBP)</t>
        </is>
      </c>
      <c r="K4" s="42" t="inlineStr">
        <is>
          <t>Spend ex VAT (supplier currency)</t>
        </is>
      </c>
      <c r="L4" s="42" t="inlineStr">
        <is>
          <t>Blocked / late</t>
        </is>
      </c>
      <c r="M4" s="42" t="inlineStr">
        <is>
          <t>At risk</t>
        </is>
      </c>
      <c r="N4" s="42" t="inlineStr">
        <is>
          <t>Next order-by (not yet ordered)</t>
        </is>
      </c>
    </row>
    <row r="5">
      <c r="A5" s="43" t="inlineStr">
        <is>
          <t>Hartwell &amp; Rowe Upholstery</t>
        </is>
      </c>
      <c r="B5" s="43" t="inlineStr">
        <is>
          <t>UK</t>
        </is>
      </c>
      <c r="C5" s="43" t="inlineStr">
        <is>
          <t>GBP</t>
        </is>
      </c>
      <c r="D5" s="43" t="inlineStr">
        <is>
          <t>Sales desk</t>
        </is>
      </c>
      <c r="E5" s="43" t="inlineStr">
        <is>
          <t>orders@hartwell-rowe.example.com</t>
        </is>
      </c>
      <c r="F5" s="43" t="n">
        <v>10</v>
      </c>
      <c r="G5" s="43" t="inlineStr">
        <is>
          <t>50% deposit, balance before dispatch</t>
        </is>
      </c>
      <c r="H5" s="44">
        <f>IF(A5="","",SUMPRODUCT((Sched_Supplier=A5)*(Sched_Item&lt;&gt;"")))</f>
        <v/>
      </c>
      <c r="I5" s="44">
        <f>IF(A5="","",H5-SUMPRODUCT((Sched_Supplier=A5)*ISNUMBER(MATCH(Sched_Status,OrderedStatuses,0))))</f>
        <v/>
      </c>
      <c r="J5" s="45">
        <f>IF(A5="","",SUMIFS(Sched_LineGBP,Sched_Supplier,A5))</f>
        <v/>
      </c>
      <c r="K5" s="54">
        <f>IF(OR(A5="",C5=""),"",SUMPRODUCT((Sched_Supplier=A5)*(Sched_Currency=C5)*Sched_Qty*Sched_UnitCost))</f>
        <v/>
      </c>
      <c r="L5" s="44">
        <f>IF(A5="","",COUNTIFS(Sched_Supplier,A5,Sched_Risk,"Blocked")+COUNTIFS(Sched_Supplier,A5,Sched_Risk,"Late"))</f>
        <v/>
      </c>
      <c r="M5" s="44">
        <f>IF(A5="","",COUNTIFS(Sched_Supplier,A5,Sched_Risk,"At risk"))</f>
        <v/>
      </c>
      <c r="N5" s="46">
        <f>IF(A5="","",IF(_xlfn.MINIFS(Sched_OrderBy,Sched_Supplier,A5,Sched_Status,"&lt;&gt;Ordered",Sched_Status,"&lt;&gt;In production",Sched_Status,"&lt;&gt;Shipped",Sched_Status,"&lt;&gt;Delivered",Sched_Status,"&lt;&gt;Installed")=0,"",_xlfn.MINIFS(Sched_OrderBy,Sched_Supplier,A5,Sched_Status,"&lt;&gt;Ordered",Sched_Status,"&lt;&gt;In production",Sched_Status,"&lt;&gt;Shipped",Sched_Status,"&lt;&gt;Delivered",Sched_Status,"&lt;&gt;Installed")))</f>
        <v/>
      </c>
    </row>
    <row r="6">
      <c r="A6" s="43" t="inlineStr">
        <is>
          <t>Ashcombe Weavers</t>
        </is>
      </c>
      <c r="B6" s="43" t="inlineStr">
        <is>
          <t>UK</t>
        </is>
      </c>
      <c r="C6" s="43" t="inlineStr">
        <is>
          <t>GBP</t>
        </is>
      </c>
      <c r="D6" s="43" t="inlineStr">
        <is>
          <t>Trade desk</t>
        </is>
      </c>
      <c r="E6" s="43" t="inlineStr">
        <is>
          <t>trade@ashcombe.example.com</t>
        </is>
      </c>
      <c r="F6" s="43" t="n">
        <v>3</v>
      </c>
      <c r="G6" s="43" t="inlineStr">
        <is>
          <t>Trade account, 30 days</t>
        </is>
      </c>
      <c r="H6" s="44">
        <f>IF(A6="","",SUMPRODUCT((Sched_Supplier=A6)*(Sched_Item&lt;&gt;"")))</f>
        <v/>
      </c>
      <c r="I6" s="44">
        <f>IF(A6="","",H6-SUMPRODUCT((Sched_Supplier=A6)*ISNUMBER(MATCH(Sched_Status,OrderedStatuses,0))))</f>
        <v/>
      </c>
      <c r="J6" s="45">
        <f>IF(A6="","",SUMIFS(Sched_LineGBP,Sched_Supplier,A6))</f>
        <v/>
      </c>
      <c r="K6" s="54">
        <f>IF(OR(A6="",C6=""),"",SUMPRODUCT((Sched_Supplier=A6)*(Sched_Currency=C6)*Sched_Qty*Sched_UnitCost))</f>
        <v/>
      </c>
      <c r="L6" s="44">
        <f>IF(A6="","",COUNTIFS(Sched_Supplier,A6,Sched_Risk,"Blocked")+COUNTIFS(Sched_Supplier,A6,Sched_Risk,"Late"))</f>
        <v/>
      </c>
      <c r="M6" s="44">
        <f>IF(A6="","",COUNTIFS(Sched_Supplier,A6,Sched_Risk,"At risk"))</f>
        <v/>
      </c>
      <c r="N6" s="46">
        <f>IF(A6="","",IF(_xlfn.MINIFS(Sched_OrderBy,Sched_Supplier,A6,Sched_Status,"&lt;&gt;Ordered",Sched_Status,"&lt;&gt;In production",Sched_Status,"&lt;&gt;Shipped",Sched_Status,"&lt;&gt;Delivered",Sched_Status,"&lt;&gt;Installed")=0,"",_xlfn.MINIFS(Sched_OrderBy,Sched_Supplier,A6,Sched_Status,"&lt;&gt;Ordered",Sched_Status,"&lt;&gt;In production",Sched_Status,"&lt;&gt;Shipped",Sched_Status,"&lt;&gt;Delivered",Sched_Status,"&lt;&gt;Installed")))</f>
        <v/>
      </c>
    </row>
    <row r="7">
      <c r="A7" s="43" t="inlineStr">
        <is>
          <t>Marlow Joinery Workshop</t>
        </is>
      </c>
      <c r="B7" s="43" t="inlineStr">
        <is>
          <t>UK</t>
        </is>
      </c>
      <c r="C7" s="43" t="inlineStr">
        <is>
          <t>GBP</t>
        </is>
      </c>
      <c r="D7" s="43" t="inlineStr">
        <is>
          <t>Workshop</t>
        </is>
      </c>
      <c r="E7" s="43" t="inlineStr">
        <is>
          <t>studio@marlowjoinery.example.com</t>
        </is>
      </c>
      <c r="F7" s="43" t="n">
        <v>8</v>
      </c>
      <c r="G7" s="43" t="inlineStr">
        <is>
          <t>Shop drawings before production</t>
        </is>
      </c>
      <c r="H7" s="44">
        <f>IF(A7="","",SUMPRODUCT((Sched_Supplier=A7)*(Sched_Item&lt;&gt;"")))</f>
        <v/>
      </c>
      <c r="I7" s="44">
        <f>IF(A7="","",H7-SUMPRODUCT((Sched_Supplier=A7)*ISNUMBER(MATCH(Sched_Status,OrderedStatuses,0))))</f>
        <v/>
      </c>
      <c r="J7" s="45">
        <f>IF(A7="","",SUMIFS(Sched_LineGBP,Sched_Supplier,A7))</f>
        <v/>
      </c>
      <c r="K7" s="54">
        <f>IF(OR(A7="",C7=""),"",SUMPRODUCT((Sched_Supplier=A7)*(Sched_Currency=C7)*Sched_Qty*Sched_UnitCost))</f>
        <v/>
      </c>
      <c r="L7" s="44">
        <f>IF(A7="","",COUNTIFS(Sched_Supplier,A7,Sched_Risk,"Blocked")+COUNTIFS(Sched_Supplier,A7,Sched_Risk,"Late"))</f>
        <v/>
      </c>
      <c r="M7" s="44">
        <f>IF(A7="","",COUNTIFS(Sched_Supplier,A7,Sched_Risk,"At risk"))</f>
        <v/>
      </c>
      <c r="N7" s="46">
        <f>IF(A7="","",IF(_xlfn.MINIFS(Sched_OrderBy,Sched_Supplier,A7,Sched_Status,"&lt;&gt;Ordered",Sched_Status,"&lt;&gt;In production",Sched_Status,"&lt;&gt;Shipped",Sched_Status,"&lt;&gt;Delivered",Sched_Status,"&lt;&gt;Installed")=0,"",_xlfn.MINIFS(Sched_OrderBy,Sched_Supplier,A7,Sched_Status,"&lt;&gt;Ordered",Sched_Status,"&lt;&gt;In production",Sched_Status,"&lt;&gt;Shipped",Sched_Status,"&lt;&gt;Delivered",Sched_Status,"&lt;&gt;Installed")))</f>
        <v/>
      </c>
    </row>
    <row r="8">
      <c r="A8" s="43" t="inlineStr">
        <is>
          <t>Fenwick Stone &amp; Tile</t>
        </is>
      </c>
      <c r="B8" s="43" t="inlineStr">
        <is>
          <t>UK</t>
        </is>
      </c>
      <c r="C8" s="43" t="inlineStr">
        <is>
          <t>GBP</t>
        </is>
      </c>
      <c r="D8" s="43" t="inlineStr">
        <is>
          <t>Trade desk</t>
        </is>
      </c>
      <c r="E8" s="43" t="inlineStr">
        <is>
          <t>trade@fenwickstone.example.com</t>
        </is>
      </c>
      <c r="F8" s="43" t="n">
        <v>4</v>
      </c>
      <c r="G8" s="43" t="inlineStr">
        <is>
          <t>Order 10% overage</t>
        </is>
      </c>
      <c r="H8" s="44">
        <f>IF(A8="","",SUMPRODUCT((Sched_Supplier=A8)*(Sched_Item&lt;&gt;"")))</f>
        <v/>
      </c>
      <c r="I8" s="44">
        <f>IF(A8="","",H8-SUMPRODUCT((Sched_Supplier=A8)*ISNUMBER(MATCH(Sched_Status,OrderedStatuses,0))))</f>
        <v/>
      </c>
      <c r="J8" s="45">
        <f>IF(A8="","",SUMIFS(Sched_LineGBP,Sched_Supplier,A8))</f>
        <v/>
      </c>
      <c r="K8" s="54">
        <f>IF(OR(A8="",C8=""),"",SUMPRODUCT((Sched_Supplier=A8)*(Sched_Currency=C8)*Sched_Qty*Sched_UnitCost))</f>
        <v/>
      </c>
      <c r="L8" s="44">
        <f>IF(A8="","",COUNTIFS(Sched_Supplier,A8,Sched_Risk,"Blocked")+COUNTIFS(Sched_Supplier,A8,Sched_Risk,"Late"))</f>
        <v/>
      </c>
      <c r="M8" s="44">
        <f>IF(A8="","",COUNTIFS(Sched_Supplier,A8,Sched_Risk,"At risk"))</f>
        <v/>
      </c>
      <c r="N8" s="46">
        <f>IF(A8="","",IF(_xlfn.MINIFS(Sched_OrderBy,Sched_Supplier,A8,Sched_Status,"&lt;&gt;Ordered",Sched_Status,"&lt;&gt;In production",Sched_Status,"&lt;&gt;Shipped",Sched_Status,"&lt;&gt;Delivered",Sched_Status,"&lt;&gt;Installed")=0,"",_xlfn.MINIFS(Sched_OrderBy,Sched_Supplier,A8,Sched_Status,"&lt;&gt;Ordered",Sched_Status,"&lt;&gt;In production",Sched_Status,"&lt;&gt;Shipped",Sched_Status,"&lt;&gt;Delivered",Sched_Status,"&lt;&gt;Installed")))</f>
        <v/>
      </c>
    </row>
    <row r="9">
      <c r="A9" s="43" t="inlineStr">
        <is>
          <t>Pell &amp; Hart Papers</t>
        </is>
      </c>
      <c r="B9" s="43" t="inlineStr">
        <is>
          <t>UK</t>
        </is>
      </c>
      <c r="C9" s="43" t="inlineStr">
        <is>
          <t>GBP</t>
        </is>
      </c>
      <c r="D9" s="43" t="inlineStr">
        <is>
          <t>Orders</t>
        </is>
      </c>
      <c r="E9" s="43" t="inlineStr">
        <is>
          <t>orders@pellhart.example.com</t>
        </is>
      </c>
      <c r="F9" s="43" t="n">
        <v>5</v>
      </c>
      <c r="G9" s="43" t="inlineStr">
        <is>
          <t>Batch numbers on delivery note</t>
        </is>
      </c>
      <c r="H9" s="44">
        <f>IF(A9="","",SUMPRODUCT((Sched_Supplier=A9)*(Sched_Item&lt;&gt;"")))</f>
        <v/>
      </c>
      <c r="I9" s="44">
        <f>IF(A9="","",H9-SUMPRODUCT((Sched_Supplier=A9)*ISNUMBER(MATCH(Sched_Status,OrderedStatuses,0))))</f>
        <v/>
      </c>
      <c r="J9" s="45">
        <f>IF(A9="","",SUMIFS(Sched_LineGBP,Sched_Supplier,A9))</f>
        <v/>
      </c>
      <c r="K9" s="54">
        <f>IF(OR(A9="",C9=""),"",SUMPRODUCT((Sched_Supplier=A9)*(Sched_Currency=C9)*Sched_Qty*Sched_UnitCost))</f>
        <v/>
      </c>
      <c r="L9" s="44">
        <f>IF(A9="","",COUNTIFS(Sched_Supplier,A9,Sched_Risk,"Blocked")+COUNTIFS(Sched_Supplier,A9,Sched_Risk,"Late"))</f>
        <v/>
      </c>
      <c r="M9" s="44">
        <f>IF(A9="","",COUNTIFS(Sched_Supplier,A9,Sched_Risk,"At risk"))</f>
        <v/>
      </c>
      <c r="N9" s="46">
        <f>IF(A9="","",IF(_xlfn.MINIFS(Sched_OrderBy,Sched_Supplier,A9,Sched_Status,"&lt;&gt;Ordered",Sched_Status,"&lt;&gt;In production",Sched_Status,"&lt;&gt;Shipped",Sched_Status,"&lt;&gt;Delivered",Sched_Status,"&lt;&gt;Installed")=0,"",_xlfn.MINIFS(Sched_OrderBy,Sched_Supplier,A9,Sched_Status,"&lt;&gt;Ordered",Sched_Status,"&lt;&gt;In production",Sched_Status,"&lt;&gt;Shipped",Sched_Status,"&lt;&gt;Delivered",Sched_Status,"&lt;&gt;Installed")))</f>
        <v/>
      </c>
    </row>
    <row r="10">
      <c r="A10" s="43" t="inlineStr">
        <is>
          <t>Thornbury Antiques</t>
        </is>
      </c>
      <c r="B10" s="43" t="inlineStr">
        <is>
          <t>UK</t>
        </is>
      </c>
      <c r="C10" s="43" t="inlineStr">
        <is>
          <t>GBP</t>
        </is>
      </c>
      <c r="D10" s="43" t="inlineStr">
        <is>
          <t>Dealer</t>
        </is>
      </c>
      <c r="E10" s="43" t="inlineStr">
        <is>
          <t>hello@thornbury.example.com</t>
        </is>
      </c>
      <c r="F10" s="43" t="n">
        <v>1</v>
      </c>
      <c r="G10" s="43" t="inlineStr">
        <is>
          <t>Paid in full to reserve</t>
        </is>
      </c>
      <c r="H10" s="44">
        <f>IF(A10="","",SUMPRODUCT((Sched_Supplier=A10)*(Sched_Item&lt;&gt;"")))</f>
        <v/>
      </c>
      <c r="I10" s="44">
        <f>IF(A10="","",H10-SUMPRODUCT((Sched_Supplier=A10)*ISNUMBER(MATCH(Sched_Status,OrderedStatuses,0))))</f>
        <v/>
      </c>
      <c r="J10" s="45">
        <f>IF(A10="","",SUMIFS(Sched_LineGBP,Sched_Supplier,A10))</f>
        <v/>
      </c>
      <c r="K10" s="54">
        <f>IF(OR(A10="",C10=""),"",SUMPRODUCT((Sched_Supplier=A10)*(Sched_Currency=C10)*Sched_Qty*Sched_UnitCost))</f>
        <v/>
      </c>
      <c r="L10" s="44">
        <f>IF(A10="","",COUNTIFS(Sched_Supplier,A10,Sched_Risk,"Blocked")+COUNTIFS(Sched_Supplier,A10,Sched_Risk,"Late"))</f>
        <v/>
      </c>
      <c r="M10" s="44">
        <f>IF(A10="","",COUNTIFS(Sched_Supplier,A10,Sched_Risk,"At risk"))</f>
        <v/>
      </c>
      <c r="N10" s="46">
        <f>IF(A10="","",IF(_xlfn.MINIFS(Sched_OrderBy,Sched_Supplier,A10,Sched_Status,"&lt;&gt;Ordered",Sched_Status,"&lt;&gt;In production",Sched_Status,"&lt;&gt;Shipped",Sched_Status,"&lt;&gt;Delivered",Sched_Status,"&lt;&gt;Installed")=0,"",_xlfn.MINIFS(Sched_OrderBy,Sched_Supplier,A10,Sched_Status,"&lt;&gt;Ordered",Sched_Status,"&lt;&gt;In production",Sched_Status,"&lt;&gt;Shipped",Sched_Status,"&lt;&gt;Delivered",Sched_Status,"&lt;&gt;Installed")))</f>
        <v/>
      </c>
    </row>
    <row r="11">
      <c r="A11" s="43" t="inlineStr">
        <is>
          <t>Kittle Bathrooms</t>
        </is>
      </c>
      <c r="B11" s="43" t="inlineStr">
        <is>
          <t>UK</t>
        </is>
      </c>
      <c r="C11" s="43" t="inlineStr">
        <is>
          <t>GBP</t>
        </is>
      </c>
      <c r="D11" s="43" t="inlineStr">
        <is>
          <t>Trade desk</t>
        </is>
      </c>
      <c r="E11" s="43" t="inlineStr">
        <is>
          <t>trade@kittle.example.com</t>
        </is>
      </c>
      <c r="F11" s="43" t="n">
        <v>6</v>
      </c>
      <c r="G11" s="43" t="inlineStr">
        <is>
          <t>Kerbside delivery only</t>
        </is>
      </c>
      <c r="H11" s="44">
        <f>IF(A11="","",SUMPRODUCT((Sched_Supplier=A11)*(Sched_Item&lt;&gt;"")))</f>
        <v/>
      </c>
      <c r="I11" s="44">
        <f>IF(A11="","",H11-SUMPRODUCT((Sched_Supplier=A11)*ISNUMBER(MATCH(Sched_Status,OrderedStatuses,0))))</f>
        <v/>
      </c>
      <c r="J11" s="45">
        <f>IF(A11="","",SUMIFS(Sched_LineGBP,Sched_Supplier,A11))</f>
        <v/>
      </c>
      <c r="K11" s="54">
        <f>IF(OR(A11="",C11=""),"",SUMPRODUCT((Sched_Supplier=A11)*(Sched_Currency=C11)*Sched_Qty*Sched_UnitCost))</f>
        <v/>
      </c>
      <c r="L11" s="44">
        <f>IF(A11="","",COUNTIFS(Sched_Supplier,A11,Sched_Risk,"Blocked")+COUNTIFS(Sched_Supplier,A11,Sched_Risk,"Late"))</f>
        <v/>
      </c>
      <c r="M11" s="44">
        <f>IF(A11="","",COUNTIFS(Sched_Supplier,A11,Sched_Risk,"At risk"))</f>
        <v/>
      </c>
      <c r="N11" s="46">
        <f>IF(A11="","",IF(_xlfn.MINIFS(Sched_OrderBy,Sched_Supplier,A11,Sched_Status,"&lt;&gt;Ordered",Sched_Status,"&lt;&gt;In production",Sched_Status,"&lt;&gt;Shipped",Sched_Status,"&lt;&gt;Delivered",Sched_Status,"&lt;&gt;Installed")=0,"",_xlfn.MINIFS(Sched_OrderBy,Sched_Supplier,A11,Sched_Status,"&lt;&gt;Ordered",Sched_Status,"&lt;&gt;In production",Sched_Status,"&lt;&gt;Shipped",Sched_Status,"&lt;&gt;Delivered",Sched_Status,"&lt;&gt;Installed")))</f>
        <v/>
      </c>
    </row>
    <row r="12">
      <c r="A12" s="43" t="inlineStr">
        <is>
          <t>Atelier Morvan</t>
        </is>
      </c>
      <c r="B12" s="43" t="inlineStr">
        <is>
          <t>France</t>
        </is>
      </c>
      <c r="C12" s="43" t="inlineStr">
        <is>
          <t>EUR</t>
        </is>
      </c>
      <c r="D12" s="43" t="inlineStr">
        <is>
          <t>Export</t>
        </is>
      </c>
      <c r="E12" s="43" t="inlineStr">
        <is>
          <t>export@morvan.example.com</t>
        </is>
      </c>
      <c r="F12" s="43" t="n">
        <v>12</v>
      </c>
      <c r="G12" s="43" t="inlineStr">
        <is>
          <t>Pro forma; ex works</t>
        </is>
      </c>
      <c r="H12" s="44">
        <f>IF(A12="","",SUMPRODUCT((Sched_Supplier=A12)*(Sched_Item&lt;&gt;"")))</f>
        <v/>
      </c>
      <c r="I12" s="44">
        <f>IF(A12="","",H12-SUMPRODUCT((Sched_Supplier=A12)*ISNUMBER(MATCH(Sched_Status,OrderedStatuses,0))))</f>
        <v/>
      </c>
      <c r="J12" s="45">
        <f>IF(A12="","",SUMIFS(Sched_LineGBP,Sched_Supplier,A12))</f>
        <v/>
      </c>
      <c r="K12" s="54">
        <f>IF(OR(A12="",C12=""),"",SUMPRODUCT((Sched_Supplier=A12)*(Sched_Currency=C12)*Sched_Qty*Sched_UnitCost))</f>
        <v/>
      </c>
      <c r="L12" s="44">
        <f>IF(A12="","",COUNTIFS(Sched_Supplier,A12,Sched_Risk,"Blocked")+COUNTIFS(Sched_Supplier,A12,Sched_Risk,"Late"))</f>
        <v/>
      </c>
      <c r="M12" s="44">
        <f>IF(A12="","",COUNTIFS(Sched_Supplier,A12,Sched_Risk,"At risk"))</f>
        <v/>
      </c>
      <c r="N12" s="46">
        <f>IF(A12="","",IF(_xlfn.MINIFS(Sched_OrderBy,Sched_Supplier,A12,Sched_Status,"&lt;&gt;Ordered",Sched_Status,"&lt;&gt;In production",Sched_Status,"&lt;&gt;Shipped",Sched_Status,"&lt;&gt;Delivered",Sched_Status,"&lt;&gt;Installed")=0,"",_xlfn.MINIFS(Sched_OrderBy,Sched_Supplier,A12,Sched_Status,"&lt;&gt;Ordered",Sched_Status,"&lt;&gt;In production",Sched_Status,"&lt;&gt;Shipped",Sched_Status,"&lt;&gt;Delivered",Sched_Status,"&lt;&gt;Installed")))</f>
        <v/>
      </c>
    </row>
    <row r="13">
      <c r="A13" s="43" t="inlineStr">
        <is>
          <t>Casa Ferrante</t>
        </is>
      </c>
      <c r="B13" s="43" t="inlineStr">
        <is>
          <t>Italy</t>
        </is>
      </c>
      <c r="C13" s="43" t="inlineStr">
        <is>
          <t>EUR</t>
        </is>
      </c>
      <c r="D13" s="43" t="inlineStr">
        <is>
          <t>Export</t>
        </is>
      </c>
      <c r="E13" s="43" t="inlineStr">
        <is>
          <t>export@casaferrante.example.com</t>
        </is>
      </c>
      <c r="F13" s="43" t="n">
        <v>14</v>
      </c>
      <c r="G13" s="43" t="inlineStr">
        <is>
          <t>30% deposit; ex works</t>
        </is>
      </c>
      <c r="H13" s="44">
        <f>IF(A13="","",SUMPRODUCT((Sched_Supplier=A13)*(Sched_Item&lt;&gt;"")))</f>
        <v/>
      </c>
      <c r="I13" s="44">
        <f>IF(A13="","",H13-SUMPRODUCT((Sched_Supplier=A13)*ISNUMBER(MATCH(Sched_Status,OrderedStatuses,0))))</f>
        <v/>
      </c>
      <c r="J13" s="45">
        <f>IF(A13="","",SUMIFS(Sched_LineGBP,Sched_Supplier,A13))</f>
        <v/>
      </c>
      <c r="K13" s="54">
        <f>IF(OR(A13="",C13=""),"",SUMPRODUCT((Sched_Supplier=A13)*(Sched_Currency=C13)*Sched_Qty*Sched_UnitCost))</f>
        <v/>
      </c>
      <c r="L13" s="44">
        <f>IF(A13="","",COUNTIFS(Sched_Supplier,A13,Sched_Risk,"Blocked")+COUNTIFS(Sched_Supplier,A13,Sched_Risk,"Late"))</f>
        <v/>
      </c>
      <c r="M13" s="44">
        <f>IF(A13="","",COUNTIFS(Sched_Supplier,A13,Sched_Risk,"At risk"))</f>
        <v/>
      </c>
      <c r="N13" s="46">
        <f>IF(A13="","",IF(_xlfn.MINIFS(Sched_OrderBy,Sched_Supplier,A13,Sched_Status,"&lt;&gt;Ordered",Sched_Status,"&lt;&gt;In production",Sched_Status,"&lt;&gt;Shipped",Sched_Status,"&lt;&gt;Delivered",Sched_Status,"&lt;&gt;Installed")=0,"",_xlfn.MINIFS(Sched_OrderBy,Sched_Supplier,A13,Sched_Status,"&lt;&gt;Ordered",Sched_Status,"&lt;&gt;In production",Sched_Status,"&lt;&gt;Shipped",Sched_Status,"&lt;&gt;Delivered",Sched_Status,"&lt;&gt;Installed")))</f>
        <v/>
      </c>
    </row>
    <row r="14">
      <c r="A14" s="43" t="inlineStr">
        <is>
          <t>Lysgaard Studio</t>
        </is>
      </c>
      <c r="B14" s="43" t="inlineStr">
        <is>
          <t>Denmark</t>
        </is>
      </c>
      <c r="C14" s="43" t="inlineStr">
        <is>
          <t>DKK</t>
        </is>
      </c>
      <c r="D14" s="43" t="inlineStr">
        <is>
          <t>Sales</t>
        </is>
      </c>
      <c r="E14" s="43" t="inlineStr">
        <is>
          <t>sales@lysgaard.example.com</t>
        </is>
      </c>
      <c r="F14" s="43" t="n">
        <v>8</v>
      </c>
      <c r="G14" s="43" t="n"/>
      <c r="H14" s="44">
        <f>IF(A14="","",SUMPRODUCT((Sched_Supplier=A14)*(Sched_Item&lt;&gt;"")))</f>
        <v/>
      </c>
      <c r="I14" s="44">
        <f>IF(A14="","",H14-SUMPRODUCT((Sched_Supplier=A14)*ISNUMBER(MATCH(Sched_Status,OrderedStatuses,0))))</f>
        <v/>
      </c>
      <c r="J14" s="45">
        <f>IF(A14="","",SUMIFS(Sched_LineGBP,Sched_Supplier,A14))</f>
        <v/>
      </c>
      <c r="K14" s="54">
        <f>IF(OR(A14="",C14=""),"",SUMPRODUCT((Sched_Supplier=A14)*(Sched_Currency=C14)*Sched_Qty*Sched_UnitCost))</f>
        <v/>
      </c>
      <c r="L14" s="44">
        <f>IF(A14="","",COUNTIFS(Sched_Supplier,A14,Sched_Risk,"Blocked")+COUNTIFS(Sched_Supplier,A14,Sched_Risk,"Late"))</f>
        <v/>
      </c>
      <c r="M14" s="44">
        <f>IF(A14="","",COUNTIFS(Sched_Supplier,A14,Sched_Risk,"At risk"))</f>
        <v/>
      </c>
      <c r="N14" s="46">
        <f>IF(A14="","",IF(_xlfn.MINIFS(Sched_OrderBy,Sched_Supplier,A14,Sched_Status,"&lt;&gt;Ordered",Sched_Status,"&lt;&gt;In production",Sched_Status,"&lt;&gt;Shipped",Sched_Status,"&lt;&gt;Delivered",Sched_Status,"&lt;&gt;Installed")=0,"",_xlfn.MINIFS(Sched_OrderBy,Sched_Supplier,A14,Sched_Status,"&lt;&gt;Ordered",Sched_Status,"&lt;&gt;In production",Sched_Status,"&lt;&gt;Shipped",Sched_Status,"&lt;&gt;Delivered",Sched_Status,"&lt;&gt;Installed")))</f>
        <v/>
      </c>
    </row>
    <row r="15">
      <c r="A15" s="43" t="inlineStr">
        <is>
          <t>Halvard Textil</t>
        </is>
      </c>
      <c r="B15" s="43" t="inlineStr">
        <is>
          <t>Sweden</t>
        </is>
      </c>
      <c r="C15" s="43" t="inlineStr">
        <is>
          <t>SEK</t>
        </is>
      </c>
      <c r="D15" s="43" t="inlineStr">
        <is>
          <t>Studio</t>
        </is>
      </c>
      <c r="E15" s="43" t="inlineStr">
        <is>
          <t>studio@halvard.example.com</t>
        </is>
      </c>
      <c r="F15" s="43" t="n">
        <v>14</v>
      </c>
      <c r="G15" s="43" t="inlineStr">
        <is>
          <t>Strike-off before weaving</t>
        </is>
      </c>
      <c r="H15" s="44">
        <f>IF(A15="","",SUMPRODUCT((Sched_Supplier=A15)*(Sched_Item&lt;&gt;"")))</f>
        <v/>
      </c>
      <c r="I15" s="44">
        <f>IF(A15="","",H15-SUMPRODUCT((Sched_Supplier=A15)*ISNUMBER(MATCH(Sched_Status,OrderedStatuses,0))))</f>
        <v/>
      </c>
      <c r="J15" s="45">
        <f>IF(A15="","",SUMIFS(Sched_LineGBP,Sched_Supplier,A15))</f>
        <v/>
      </c>
      <c r="K15" s="54">
        <f>IF(OR(A15="",C15=""),"",SUMPRODUCT((Sched_Supplier=A15)*(Sched_Currency=C15)*Sched_Qty*Sched_UnitCost))</f>
        <v/>
      </c>
      <c r="L15" s="44">
        <f>IF(A15="","",COUNTIFS(Sched_Supplier,A15,Sched_Risk,"Blocked")+COUNTIFS(Sched_Supplier,A15,Sched_Risk,"Late"))</f>
        <v/>
      </c>
      <c r="M15" s="44">
        <f>IF(A15="","",COUNTIFS(Sched_Supplier,A15,Sched_Risk,"At risk"))</f>
        <v/>
      </c>
      <c r="N15" s="46">
        <f>IF(A15="","",IF(_xlfn.MINIFS(Sched_OrderBy,Sched_Supplier,A15,Sched_Status,"&lt;&gt;Ordered",Sched_Status,"&lt;&gt;In production",Sched_Status,"&lt;&gt;Shipped",Sched_Status,"&lt;&gt;Delivered",Sched_Status,"&lt;&gt;Installed")=0,"",_xlfn.MINIFS(Sched_OrderBy,Sched_Supplier,A15,Sched_Status,"&lt;&gt;Ordered",Sched_Status,"&lt;&gt;In production",Sched_Status,"&lt;&gt;Shipped",Sched_Status,"&lt;&gt;Delivered",Sched_Status,"&lt;&gt;Installed")))</f>
        <v/>
      </c>
    </row>
    <row r="16">
      <c r="A16" s="43" t="inlineStr">
        <is>
          <t>Ostrander Brass Co.</t>
        </is>
      </c>
      <c r="B16" s="43" t="inlineStr">
        <is>
          <t>USA</t>
        </is>
      </c>
      <c r="C16" s="43" t="inlineStr">
        <is>
          <t>USD</t>
        </is>
      </c>
      <c r="D16" s="43" t="inlineStr">
        <is>
          <t>Trade</t>
        </is>
      </c>
      <c r="E16" s="43" t="inlineStr">
        <is>
          <t>trade@ostrander.example.com</t>
        </is>
      </c>
      <c r="F16" s="43" t="n">
        <v>10</v>
      </c>
      <c r="G16" s="43" t="inlineStr">
        <is>
          <t>Prepay; freight quoted separately</t>
        </is>
      </c>
      <c r="H16" s="44">
        <f>IF(A16="","",SUMPRODUCT((Sched_Supplier=A16)*(Sched_Item&lt;&gt;"")))</f>
        <v/>
      </c>
      <c r="I16" s="44">
        <f>IF(A16="","",H16-SUMPRODUCT((Sched_Supplier=A16)*ISNUMBER(MATCH(Sched_Status,OrderedStatuses,0))))</f>
        <v/>
      </c>
      <c r="J16" s="45">
        <f>IF(A16="","",SUMIFS(Sched_LineGBP,Sched_Supplier,A16))</f>
        <v/>
      </c>
      <c r="K16" s="54">
        <f>IF(OR(A16="",C16=""),"",SUMPRODUCT((Sched_Supplier=A16)*(Sched_Currency=C16)*Sched_Qty*Sched_UnitCost))</f>
        <v/>
      </c>
      <c r="L16" s="44">
        <f>IF(A16="","",COUNTIFS(Sched_Supplier,A16,Sched_Risk,"Blocked")+COUNTIFS(Sched_Supplier,A16,Sched_Risk,"Late"))</f>
        <v/>
      </c>
      <c r="M16" s="44">
        <f>IF(A16="","",COUNTIFS(Sched_Supplier,A16,Sched_Risk,"At risk"))</f>
        <v/>
      </c>
      <c r="N16" s="46">
        <f>IF(A16="","",IF(_xlfn.MINIFS(Sched_OrderBy,Sched_Supplier,A16,Sched_Status,"&lt;&gt;Ordered",Sched_Status,"&lt;&gt;In production",Sched_Status,"&lt;&gt;Shipped",Sched_Status,"&lt;&gt;Delivered",Sched_Status,"&lt;&gt;Installed")=0,"",_xlfn.MINIFS(Sched_OrderBy,Sched_Supplier,A16,Sched_Status,"&lt;&gt;Ordered",Sched_Status,"&lt;&gt;In production",Sched_Status,"&lt;&gt;Shipped",Sched_Status,"&lt;&gt;Delivered",Sched_Status,"&lt;&gt;Installed")))</f>
        <v/>
      </c>
    </row>
    <row r="17">
      <c r="A17" s="43" t="inlineStr">
        <is>
          <t>Mesa Clayworks</t>
        </is>
      </c>
      <c r="B17" s="43" t="inlineStr">
        <is>
          <t>USA</t>
        </is>
      </c>
      <c r="C17" s="43" t="inlineStr">
        <is>
          <t>USD</t>
        </is>
      </c>
      <c r="D17" s="43" t="inlineStr">
        <is>
          <t>Studio</t>
        </is>
      </c>
      <c r="E17" s="43" t="inlineStr">
        <is>
          <t>studio@mesaclay.example.com</t>
        </is>
      </c>
      <c r="F17" s="43" t="n">
        <v>8</v>
      </c>
      <c r="G17" s="43" t="inlineStr">
        <is>
          <t>Glaze varies by batch</t>
        </is>
      </c>
      <c r="H17" s="44">
        <f>IF(A17="","",SUMPRODUCT((Sched_Supplier=A17)*(Sched_Item&lt;&gt;"")))</f>
        <v/>
      </c>
      <c r="I17" s="44">
        <f>IF(A17="","",H17-SUMPRODUCT((Sched_Supplier=A17)*ISNUMBER(MATCH(Sched_Status,OrderedStatuses,0))))</f>
        <v/>
      </c>
      <c r="J17" s="45">
        <f>IF(A17="","",SUMIFS(Sched_LineGBP,Sched_Supplier,A17))</f>
        <v/>
      </c>
      <c r="K17" s="54">
        <f>IF(OR(A17="",C17=""),"",SUMPRODUCT((Sched_Supplier=A17)*(Sched_Currency=C17)*Sched_Qty*Sched_UnitCost))</f>
        <v/>
      </c>
      <c r="L17" s="44">
        <f>IF(A17="","",COUNTIFS(Sched_Supplier,A17,Sched_Risk,"Blocked")+COUNTIFS(Sched_Supplier,A17,Sched_Risk,"Late"))</f>
        <v/>
      </c>
      <c r="M17" s="44">
        <f>IF(A17="","",COUNTIFS(Sched_Supplier,A17,Sched_Risk,"At risk"))</f>
        <v/>
      </c>
      <c r="N17" s="46">
        <f>IF(A17="","",IF(_xlfn.MINIFS(Sched_OrderBy,Sched_Supplier,A17,Sched_Status,"&lt;&gt;Ordered",Sched_Status,"&lt;&gt;In production",Sched_Status,"&lt;&gt;Shipped",Sched_Status,"&lt;&gt;Delivered",Sched_Status,"&lt;&gt;Installed")=0,"",_xlfn.MINIFS(Sched_OrderBy,Sched_Supplier,A17,Sched_Status,"&lt;&gt;Ordered",Sched_Status,"&lt;&gt;In production",Sched_Status,"&lt;&gt;Shipped",Sched_Status,"&lt;&gt;Delivered",Sched_Status,"&lt;&gt;Installed")))</f>
        <v/>
      </c>
    </row>
    <row r="18">
      <c r="A18" s="43" t="n"/>
      <c r="B18" s="43" t="n"/>
      <c r="C18" s="43" t="n"/>
      <c r="D18" s="43" t="n"/>
      <c r="E18" s="43" t="n"/>
      <c r="F18" s="43" t="n"/>
      <c r="G18" s="43" t="n"/>
      <c r="H18" s="44">
        <f>IF(A18="","",SUMPRODUCT((Sched_Supplier=A18)*(Sched_Item&lt;&gt;"")))</f>
        <v/>
      </c>
      <c r="I18" s="44">
        <f>IF(A18="","",H18-SUMPRODUCT((Sched_Supplier=A18)*ISNUMBER(MATCH(Sched_Status,OrderedStatuses,0))))</f>
        <v/>
      </c>
      <c r="J18" s="45">
        <f>IF(A18="","",SUMIFS(Sched_LineGBP,Sched_Supplier,A18))</f>
        <v/>
      </c>
      <c r="K18" s="54">
        <f>IF(OR(A18="",C18=""),"",SUMPRODUCT((Sched_Supplier=A18)*(Sched_Currency=C18)*Sched_Qty*Sched_UnitCost))</f>
        <v/>
      </c>
      <c r="L18" s="44">
        <f>IF(A18="","",COUNTIFS(Sched_Supplier,A18,Sched_Risk,"Blocked")+COUNTIFS(Sched_Supplier,A18,Sched_Risk,"Late"))</f>
        <v/>
      </c>
      <c r="M18" s="44">
        <f>IF(A18="","",COUNTIFS(Sched_Supplier,A18,Sched_Risk,"At risk"))</f>
        <v/>
      </c>
      <c r="N18" s="46">
        <f>IF(A18="","",IF(_xlfn.MINIFS(Sched_OrderBy,Sched_Supplier,A18,Sched_Status,"&lt;&gt;Ordered",Sched_Status,"&lt;&gt;In production",Sched_Status,"&lt;&gt;Shipped",Sched_Status,"&lt;&gt;Delivered",Sched_Status,"&lt;&gt;Installed")=0,"",_xlfn.MINIFS(Sched_OrderBy,Sched_Supplier,A18,Sched_Status,"&lt;&gt;Ordered",Sched_Status,"&lt;&gt;In production",Sched_Status,"&lt;&gt;Shipped",Sched_Status,"&lt;&gt;Delivered",Sched_Status,"&lt;&gt;Installed")))</f>
        <v/>
      </c>
    </row>
    <row r="19">
      <c r="A19" s="43" t="n"/>
      <c r="B19" s="43" t="n"/>
      <c r="C19" s="43" t="n"/>
      <c r="D19" s="43" t="n"/>
      <c r="E19" s="43" t="n"/>
      <c r="F19" s="43" t="n"/>
      <c r="G19" s="43" t="n"/>
      <c r="H19" s="44">
        <f>IF(A19="","",SUMPRODUCT((Sched_Supplier=A19)*(Sched_Item&lt;&gt;"")))</f>
        <v/>
      </c>
      <c r="I19" s="44">
        <f>IF(A19="","",H19-SUMPRODUCT((Sched_Supplier=A19)*ISNUMBER(MATCH(Sched_Status,OrderedStatuses,0))))</f>
        <v/>
      </c>
      <c r="J19" s="45">
        <f>IF(A19="","",SUMIFS(Sched_LineGBP,Sched_Supplier,A19))</f>
        <v/>
      </c>
      <c r="K19" s="54">
        <f>IF(OR(A19="",C19=""),"",SUMPRODUCT((Sched_Supplier=A19)*(Sched_Currency=C19)*Sched_Qty*Sched_UnitCost))</f>
        <v/>
      </c>
      <c r="L19" s="44">
        <f>IF(A19="","",COUNTIFS(Sched_Supplier,A19,Sched_Risk,"Blocked")+COUNTIFS(Sched_Supplier,A19,Sched_Risk,"Late"))</f>
        <v/>
      </c>
      <c r="M19" s="44">
        <f>IF(A19="","",COUNTIFS(Sched_Supplier,A19,Sched_Risk,"At risk"))</f>
        <v/>
      </c>
      <c r="N19" s="46">
        <f>IF(A19="","",IF(_xlfn.MINIFS(Sched_OrderBy,Sched_Supplier,A19,Sched_Status,"&lt;&gt;Ordered",Sched_Status,"&lt;&gt;In production",Sched_Status,"&lt;&gt;Shipped",Sched_Status,"&lt;&gt;Delivered",Sched_Status,"&lt;&gt;Installed")=0,"",_xlfn.MINIFS(Sched_OrderBy,Sched_Supplier,A19,Sched_Status,"&lt;&gt;Ordered",Sched_Status,"&lt;&gt;In production",Sched_Status,"&lt;&gt;Shipped",Sched_Status,"&lt;&gt;Delivered",Sched_Status,"&lt;&gt;Installed")))</f>
        <v/>
      </c>
    </row>
    <row r="20">
      <c r="A20" s="43" t="n"/>
      <c r="B20" s="43" t="n"/>
      <c r="C20" s="43" t="n"/>
      <c r="D20" s="43" t="n"/>
      <c r="E20" s="43" t="n"/>
      <c r="F20" s="43" t="n"/>
      <c r="G20" s="43" t="n"/>
      <c r="H20" s="44">
        <f>IF(A20="","",SUMPRODUCT((Sched_Supplier=A20)*(Sched_Item&lt;&gt;"")))</f>
        <v/>
      </c>
      <c r="I20" s="44">
        <f>IF(A20="","",H20-SUMPRODUCT((Sched_Supplier=A20)*ISNUMBER(MATCH(Sched_Status,OrderedStatuses,0))))</f>
        <v/>
      </c>
      <c r="J20" s="45">
        <f>IF(A20="","",SUMIFS(Sched_LineGBP,Sched_Supplier,A20))</f>
        <v/>
      </c>
      <c r="K20" s="54">
        <f>IF(OR(A20="",C20=""),"",SUMPRODUCT((Sched_Supplier=A20)*(Sched_Currency=C20)*Sched_Qty*Sched_UnitCost))</f>
        <v/>
      </c>
      <c r="L20" s="44">
        <f>IF(A20="","",COUNTIFS(Sched_Supplier,A20,Sched_Risk,"Blocked")+COUNTIFS(Sched_Supplier,A20,Sched_Risk,"Late"))</f>
        <v/>
      </c>
      <c r="M20" s="44">
        <f>IF(A20="","",COUNTIFS(Sched_Supplier,A20,Sched_Risk,"At risk"))</f>
        <v/>
      </c>
      <c r="N20" s="46">
        <f>IF(A20="","",IF(_xlfn.MINIFS(Sched_OrderBy,Sched_Supplier,A20,Sched_Status,"&lt;&gt;Ordered",Sched_Status,"&lt;&gt;In production",Sched_Status,"&lt;&gt;Shipped",Sched_Status,"&lt;&gt;Delivered",Sched_Status,"&lt;&gt;Installed")=0,"",_xlfn.MINIFS(Sched_OrderBy,Sched_Supplier,A20,Sched_Status,"&lt;&gt;Ordered",Sched_Status,"&lt;&gt;In production",Sched_Status,"&lt;&gt;Shipped",Sched_Status,"&lt;&gt;Delivered",Sched_Status,"&lt;&gt;Installed")))</f>
        <v/>
      </c>
    </row>
    <row r="21">
      <c r="A21" s="43" t="n"/>
      <c r="B21" s="43" t="n"/>
      <c r="C21" s="43" t="n"/>
      <c r="D21" s="43" t="n"/>
      <c r="E21" s="43" t="n"/>
      <c r="F21" s="43" t="n"/>
      <c r="G21" s="43" t="n"/>
      <c r="H21" s="44">
        <f>IF(A21="","",SUMPRODUCT((Sched_Supplier=A21)*(Sched_Item&lt;&gt;"")))</f>
        <v/>
      </c>
      <c r="I21" s="44">
        <f>IF(A21="","",H21-SUMPRODUCT((Sched_Supplier=A21)*ISNUMBER(MATCH(Sched_Status,OrderedStatuses,0))))</f>
        <v/>
      </c>
      <c r="J21" s="45">
        <f>IF(A21="","",SUMIFS(Sched_LineGBP,Sched_Supplier,A21))</f>
        <v/>
      </c>
      <c r="K21" s="54">
        <f>IF(OR(A21="",C21=""),"",SUMPRODUCT((Sched_Supplier=A21)*(Sched_Currency=C21)*Sched_Qty*Sched_UnitCost))</f>
        <v/>
      </c>
      <c r="L21" s="44">
        <f>IF(A21="","",COUNTIFS(Sched_Supplier,A21,Sched_Risk,"Blocked")+COUNTIFS(Sched_Supplier,A21,Sched_Risk,"Late"))</f>
        <v/>
      </c>
      <c r="M21" s="44">
        <f>IF(A21="","",COUNTIFS(Sched_Supplier,A21,Sched_Risk,"At risk"))</f>
        <v/>
      </c>
      <c r="N21" s="46">
        <f>IF(A21="","",IF(_xlfn.MINIFS(Sched_OrderBy,Sched_Supplier,A21,Sched_Status,"&lt;&gt;Ordered",Sched_Status,"&lt;&gt;In production",Sched_Status,"&lt;&gt;Shipped",Sched_Status,"&lt;&gt;Delivered",Sched_Status,"&lt;&gt;Installed")=0,"",_xlfn.MINIFS(Sched_OrderBy,Sched_Supplier,A21,Sched_Status,"&lt;&gt;Ordered",Sched_Status,"&lt;&gt;In production",Sched_Status,"&lt;&gt;Shipped",Sched_Status,"&lt;&gt;Delivered",Sched_Status,"&lt;&gt;Installed")))</f>
        <v/>
      </c>
    </row>
    <row r="22">
      <c r="A22" s="43" t="n"/>
      <c r="B22" s="43" t="n"/>
      <c r="C22" s="43" t="n"/>
      <c r="D22" s="43" t="n"/>
      <c r="E22" s="43" t="n"/>
      <c r="F22" s="43" t="n"/>
      <c r="G22" s="43" t="n"/>
      <c r="H22" s="44">
        <f>IF(A22="","",SUMPRODUCT((Sched_Supplier=A22)*(Sched_Item&lt;&gt;"")))</f>
        <v/>
      </c>
      <c r="I22" s="44">
        <f>IF(A22="","",H22-SUMPRODUCT((Sched_Supplier=A22)*ISNUMBER(MATCH(Sched_Status,OrderedStatuses,0))))</f>
        <v/>
      </c>
      <c r="J22" s="45">
        <f>IF(A22="","",SUMIFS(Sched_LineGBP,Sched_Supplier,A22))</f>
        <v/>
      </c>
      <c r="K22" s="54">
        <f>IF(OR(A22="",C22=""),"",SUMPRODUCT((Sched_Supplier=A22)*(Sched_Currency=C22)*Sched_Qty*Sched_UnitCost))</f>
        <v/>
      </c>
      <c r="L22" s="44">
        <f>IF(A22="","",COUNTIFS(Sched_Supplier,A22,Sched_Risk,"Blocked")+COUNTIFS(Sched_Supplier,A22,Sched_Risk,"Late"))</f>
        <v/>
      </c>
      <c r="M22" s="44">
        <f>IF(A22="","",COUNTIFS(Sched_Supplier,A22,Sched_Risk,"At risk"))</f>
        <v/>
      </c>
      <c r="N22" s="46">
        <f>IF(A22="","",IF(_xlfn.MINIFS(Sched_OrderBy,Sched_Supplier,A22,Sched_Status,"&lt;&gt;Ordered",Sched_Status,"&lt;&gt;In production",Sched_Status,"&lt;&gt;Shipped",Sched_Status,"&lt;&gt;Delivered",Sched_Status,"&lt;&gt;Installed")=0,"",_xlfn.MINIFS(Sched_OrderBy,Sched_Supplier,A22,Sched_Status,"&lt;&gt;Ordered",Sched_Status,"&lt;&gt;In production",Sched_Status,"&lt;&gt;Shipped",Sched_Status,"&lt;&gt;Delivered",Sched_Status,"&lt;&gt;Installed")))</f>
        <v/>
      </c>
    </row>
    <row r="23">
      <c r="A23" s="43" t="n"/>
      <c r="B23" s="43" t="n"/>
      <c r="C23" s="43" t="n"/>
      <c r="D23" s="43" t="n"/>
      <c r="E23" s="43" t="n"/>
      <c r="F23" s="43" t="n"/>
      <c r="G23" s="43" t="n"/>
      <c r="H23" s="44">
        <f>IF(A23="","",SUMPRODUCT((Sched_Supplier=A23)*(Sched_Item&lt;&gt;"")))</f>
        <v/>
      </c>
      <c r="I23" s="44">
        <f>IF(A23="","",H23-SUMPRODUCT((Sched_Supplier=A23)*ISNUMBER(MATCH(Sched_Status,OrderedStatuses,0))))</f>
        <v/>
      </c>
      <c r="J23" s="45">
        <f>IF(A23="","",SUMIFS(Sched_LineGBP,Sched_Supplier,A23))</f>
        <v/>
      </c>
      <c r="K23" s="54">
        <f>IF(OR(A23="",C23=""),"",SUMPRODUCT((Sched_Supplier=A23)*(Sched_Currency=C23)*Sched_Qty*Sched_UnitCost))</f>
        <v/>
      </c>
      <c r="L23" s="44">
        <f>IF(A23="","",COUNTIFS(Sched_Supplier,A23,Sched_Risk,"Blocked")+COUNTIFS(Sched_Supplier,A23,Sched_Risk,"Late"))</f>
        <v/>
      </c>
      <c r="M23" s="44">
        <f>IF(A23="","",COUNTIFS(Sched_Supplier,A23,Sched_Risk,"At risk"))</f>
        <v/>
      </c>
      <c r="N23" s="46">
        <f>IF(A23="","",IF(_xlfn.MINIFS(Sched_OrderBy,Sched_Supplier,A23,Sched_Status,"&lt;&gt;Ordered",Sched_Status,"&lt;&gt;In production",Sched_Status,"&lt;&gt;Shipped",Sched_Status,"&lt;&gt;Delivered",Sched_Status,"&lt;&gt;Installed")=0,"",_xlfn.MINIFS(Sched_OrderBy,Sched_Supplier,A23,Sched_Status,"&lt;&gt;Ordered",Sched_Status,"&lt;&gt;In production",Sched_Status,"&lt;&gt;Shipped",Sched_Status,"&lt;&gt;Delivered",Sched_Status,"&lt;&gt;Installed")))</f>
        <v/>
      </c>
    </row>
    <row r="24">
      <c r="A24" s="43" t="n"/>
      <c r="B24" s="43" t="n"/>
      <c r="C24" s="43" t="n"/>
      <c r="D24" s="43" t="n"/>
      <c r="E24" s="43" t="n"/>
      <c r="F24" s="43" t="n"/>
      <c r="G24" s="43" t="n"/>
      <c r="H24" s="44">
        <f>IF(A24="","",SUMPRODUCT((Sched_Supplier=A24)*(Sched_Item&lt;&gt;"")))</f>
        <v/>
      </c>
      <c r="I24" s="44">
        <f>IF(A24="","",H24-SUMPRODUCT((Sched_Supplier=A24)*ISNUMBER(MATCH(Sched_Status,OrderedStatuses,0))))</f>
        <v/>
      </c>
      <c r="J24" s="45">
        <f>IF(A24="","",SUMIFS(Sched_LineGBP,Sched_Supplier,A24))</f>
        <v/>
      </c>
      <c r="K24" s="54">
        <f>IF(OR(A24="",C24=""),"",SUMPRODUCT((Sched_Supplier=A24)*(Sched_Currency=C24)*Sched_Qty*Sched_UnitCost))</f>
        <v/>
      </c>
      <c r="L24" s="44">
        <f>IF(A24="","",COUNTIFS(Sched_Supplier,A24,Sched_Risk,"Blocked")+COUNTIFS(Sched_Supplier,A24,Sched_Risk,"Late"))</f>
        <v/>
      </c>
      <c r="M24" s="44">
        <f>IF(A24="","",COUNTIFS(Sched_Supplier,A24,Sched_Risk,"At risk"))</f>
        <v/>
      </c>
      <c r="N24" s="46">
        <f>IF(A24="","",IF(_xlfn.MINIFS(Sched_OrderBy,Sched_Supplier,A24,Sched_Status,"&lt;&gt;Ordered",Sched_Status,"&lt;&gt;In production",Sched_Status,"&lt;&gt;Shipped",Sched_Status,"&lt;&gt;Delivered",Sched_Status,"&lt;&gt;Installed")=0,"",_xlfn.MINIFS(Sched_OrderBy,Sched_Supplier,A24,Sched_Status,"&lt;&gt;Ordered",Sched_Status,"&lt;&gt;In production",Sched_Status,"&lt;&gt;Shipped",Sched_Status,"&lt;&gt;Delivered",Sched_Status,"&lt;&gt;Installed")))</f>
        <v/>
      </c>
    </row>
    <row r="25">
      <c r="A25" s="43" t="n"/>
      <c r="B25" s="43" t="n"/>
      <c r="C25" s="43" t="n"/>
      <c r="D25" s="43" t="n"/>
      <c r="E25" s="43" t="n"/>
      <c r="F25" s="43" t="n"/>
      <c r="G25" s="43" t="n"/>
      <c r="H25" s="44">
        <f>IF(A25="","",SUMPRODUCT((Sched_Supplier=A25)*(Sched_Item&lt;&gt;"")))</f>
        <v/>
      </c>
      <c r="I25" s="44">
        <f>IF(A25="","",H25-SUMPRODUCT((Sched_Supplier=A25)*ISNUMBER(MATCH(Sched_Status,OrderedStatuses,0))))</f>
        <v/>
      </c>
      <c r="J25" s="45">
        <f>IF(A25="","",SUMIFS(Sched_LineGBP,Sched_Supplier,A25))</f>
        <v/>
      </c>
      <c r="K25" s="54">
        <f>IF(OR(A25="",C25=""),"",SUMPRODUCT((Sched_Supplier=A25)*(Sched_Currency=C25)*Sched_Qty*Sched_UnitCost))</f>
        <v/>
      </c>
      <c r="L25" s="44">
        <f>IF(A25="","",COUNTIFS(Sched_Supplier,A25,Sched_Risk,"Blocked")+COUNTIFS(Sched_Supplier,A25,Sched_Risk,"Late"))</f>
        <v/>
      </c>
      <c r="M25" s="44">
        <f>IF(A25="","",COUNTIFS(Sched_Supplier,A25,Sched_Risk,"At risk"))</f>
        <v/>
      </c>
      <c r="N25" s="46">
        <f>IF(A25="","",IF(_xlfn.MINIFS(Sched_OrderBy,Sched_Supplier,A25,Sched_Status,"&lt;&gt;Ordered",Sched_Status,"&lt;&gt;In production",Sched_Status,"&lt;&gt;Shipped",Sched_Status,"&lt;&gt;Delivered",Sched_Status,"&lt;&gt;Installed")=0,"",_xlfn.MINIFS(Sched_OrderBy,Sched_Supplier,A25,Sched_Status,"&lt;&gt;Ordered",Sched_Status,"&lt;&gt;In production",Sched_Status,"&lt;&gt;Shipped",Sched_Status,"&lt;&gt;Delivered",Sched_Status,"&lt;&gt;Installed")))</f>
        <v/>
      </c>
    </row>
    <row r="26">
      <c r="A26" s="43" t="n"/>
      <c r="B26" s="43" t="n"/>
      <c r="C26" s="43" t="n"/>
      <c r="D26" s="43" t="n"/>
      <c r="E26" s="43" t="n"/>
      <c r="F26" s="43" t="n"/>
      <c r="G26" s="43" t="n"/>
      <c r="H26" s="44">
        <f>IF(A26="","",SUMPRODUCT((Sched_Supplier=A26)*(Sched_Item&lt;&gt;"")))</f>
        <v/>
      </c>
      <c r="I26" s="44">
        <f>IF(A26="","",H26-SUMPRODUCT((Sched_Supplier=A26)*ISNUMBER(MATCH(Sched_Status,OrderedStatuses,0))))</f>
        <v/>
      </c>
      <c r="J26" s="45">
        <f>IF(A26="","",SUMIFS(Sched_LineGBP,Sched_Supplier,A26))</f>
        <v/>
      </c>
      <c r="K26" s="54">
        <f>IF(OR(A26="",C26=""),"",SUMPRODUCT((Sched_Supplier=A26)*(Sched_Currency=C26)*Sched_Qty*Sched_UnitCost))</f>
        <v/>
      </c>
      <c r="L26" s="44">
        <f>IF(A26="","",COUNTIFS(Sched_Supplier,A26,Sched_Risk,"Blocked")+COUNTIFS(Sched_Supplier,A26,Sched_Risk,"Late"))</f>
        <v/>
      </c>
      <c r="M26" s="44">
        <f>IF(A26="","",COUNTIFS(Sched_Supplier,A26,Sched_Risk,"At risk"))</f>
        <v/>
      </c>
      <c r="N26" s="46">
        <f>IF(A26="","",IF(_xlfn.MINIFS(Sched_OrderBy,Sched_Supplier,A26,Sched_Status,"&lt;&gt;Ordered",Sched_Status,"&lt;&gt;In production",Sched_Status,"&lt;&gt;Shipped",Sched_Status,"&lt;&gt;Delivered",Sched_Status,"&lt;&gt;Installed")=0,"",_xlfn.MINIFS(Sched_OrderBy,Sched_Supplier,A26,Sched_Status,"&lt;&gt;Ordered",Sched_Status,"&lt;&gt;In production",Sched_Status,"&lt;&gt;Shipped",Sched_Status,"&lt;&gt;Delivered",Sched_Status,"&lt;&gt;Installed")))</f>
        <v/>
      </c>
    </row>
    <row r="27">
      <c r="A27" s="43" t="n"/>
      <c r="B27" s="43" t="n"/>
      <c r="C27" s="43" t="n"/>
      <c r="D27" s="43" t="n"/>
      <c r="E27" s="43" t="n"/>
      <c r="F27" s="43" t="n"/>
      <c r="G27" s="43" t="n"/>
      <c r="H27" s="44">
        <f>IF(A27="","",SUMPRODUCT((Sched_Supplier=A27)*(Sched_Item&lt;&gt;"")))</f>
        <v/>
      </c>
      <c r="I27" s="44">
        <f>IF(A27="","",H27-SUMPRODUCT((Sched_Supplier=A27)*ISNUMBER(MATCH(Sched_Status,OrderedStatuses,0))))</f>
        <v/>
      </c>
      <c r="J27" s="45">
        <f>IF(A27="","",SUMIFS(Sched_LineGBP,Sched_Supplier,A27))</f>
        <v/>
      </c>
      <c r="K27" s="54">
        <f>IF(OR(A27="",C27=""),"",SUMPRODUCT((Sched_Supplier=A27)*(Sched_Currency=C27)*Sched_Qty*Sched_UnitCost))</f>
        <v/>
      </c>
      <c r="L27" s="44">
        <f>IF(A27="","",COUNTIFS(Sched_Supplier,A27,Sched_Risk,"Blocked")+COUNTIFS(Sched_Supplier,A27,Sched_Risk,"Late"))</f>
        <v/>
      </c>
      <c r="M27" s="44">
        <f>IF(A27="","",COUNTIFS(Sched_Supplier,A27,Sched_Risk,"At risk"))</f>
        <v/>
      </c>
      <c r="N27" s="46">
        <f>IF(A27="","",IF(_xlfn.MINIFS(Sched_OrderBy,Sched_Supplier,A27,Sched_Status,"&lt;&gt;Ordered",Sched_Status,"&lt;&gt;In production",Sched_Status,"&lt;&gt;Shipped",Sched_Status,"&lt;&gt;Delivered",Sched_Status,"&lt;&gt;Installed")=0,"",_xlfn.MINIFS(Sched_OrderBy,Sched_Supplier,A27,Sched_Status,"&lt;&gt;Ordered",Sched_Status,"&lt;&gt;In production",Sched_Status,"&lt;&gt;Shipped",Sched_Status,"&lt;&gt;Delivered",Sched_Status,"&lt;&gt;Installed")))</f>
        <v/>
      </c>
    </row>
    <row r="28">
      <c r="A28" s="43" t="n"/>
      <c r="B28" s="43" t="n"/>
      <c r="C28" s="43" t="n"/>
      <c r="D28" s="43" t="n"/>
      <c r="E28" s="43" t="n"/>
      <c r="F28" s="43" t="n"/>
      <c r="G28" s="43" t="n"/>
      <c r="H28" s="44">
        <f>IF(A28="","",SUMPRODUCT((Sched_Supplier=A28)*(Sched_Item&lt;&gt;"")))</f>
        <v/>
      </c>
      <c r="I28" s="44">
        <f>IF(A28="","",H28-SUMPRODUCT((Sched_Supplier=A28)*ISNUMBER(MATCH(Sched_Status,OrderedStatuses,0))))</f>
        <v/>
      </c>
      <c r="J28" s="45">
        <f>IF(A28="","",SUMIFS(Sched_LineGBP,Sched_Supplier,A28))</f>
        <v/>
      </c>
      <c r="K28" s="54">
        <f>IF(OR(A28="",C28=""),"",SUMPRODUCT((Sched_Supplier=A28)*(Sched_Currency=C28)*Sched_Qty*Sched_UnitCost))</f>
        <v/>
      </c>
      <c r="L28" s="44">
        <f>IF(A28="","",COUNTIFS(Sched_Supplier,A28,Sched_Risk,"Blocked")+COUNTIFS(Sched_Supplier,A28,Sched_Risk,"Late"))</f>
        <v/>
      </c>
      <c r="M28" s="44">
        <f>IF(A28="","",COUNTIFS(Sched_Supplier,A28,Sched_Risk,"At risk"))</f>
        <v/>
      </c>
      <c r="N28" s="46">
        <f>IF(A28="","",IF(_xlfn.MINIFS(Sched_OrderBy,Sched_Supplier,A28,Sched_Status,"&lt;&gt;Ordered",Sched_Status,"&lt;&gt;In production",Sched_Status,"&lt;&gt;Shipped",Sched_Status,"&lt;&gt;Delivered",Sched_Status,"&lt;&gt;Installed")=0,"",_xlfn.MINIFS(Sched_OrderBy,Sched_Supplier,A28,Sched_Status,"&lt;&gt;Ordered",Sched_Status,"&lt;&gt;In production",Sched_Status,"&lt;&gt;Shipped",Sched_Status,"&lt;&gt;Delivered",Sched_Status,"&lt;&gt;Installed")))</f>
        <v/>
      </c>
    </row>
    <row r="29">
      <c r="A29" s="43" t="n"/>
      <c r="B29" s="43" t="n"/>
      <c r="C29" s="43" t="n"/>
      <c r="D29" s="43" t="n"/>
      <c r="E29" s="43" t="n"/>
      <c r="F29" s="43" t="n"/>
      <c r="G29" s="43" t="n"/>
      <c r="H29" s="44">
        <f>IF(A29="","",SUMPRODUCT((Sched_Supplier=A29)*(Sched_Item&lt;&gt;"")))</f>
        <v/>
      </c>
      <c r="I29" s="44">
        <f>IF(A29="","",H29-SUMPRODUCT((Sched_Supplier=A29)*ISNUMBER(MATCH(Sched_Status,OrderedStatuses,0))))</f>
        <v/>
      </c>
      <c r="J29" s="45">
        <f>IF(A29="","",SUMIFS(Sched_LineGBP,Sched_Supplier,A29))</f>
        <v/>
      </c>
      <c r="K29" s="54">
        <f>IF(OR(A29="",C29=""),"",SUMPRODUCT((Sched_Supplier=A29)*(Sched_Currency=C29)*Sched_Qty*Sched_UnitCost))</f>
        <v/>
      </c>
      <c r="L29" s="44">
        <f>IF(A29="","",COUNTIFS(Sched_Supplier,A29,Sched_Risk,"Blocked")+COUNTIFS(Sched_Supplier,A29,Sched_Risk,"Late"))</f>
        <v/>
      </c>
      <c r="M29" s="44">
        <f>IF(A29="","",COUNTIFS(Sched_Supplier,A29,Sched_Risk,"At risk"))</f>
        <v/>
      </c>
      <c r="N29" s="46">
        <f>IF(A29="","",IF(_xlfn.MINIFS(Sched_OrderBy,Sched_Supplier,A29,Sched_Status,"&lt;&gt;Ordered",Sched_Status,"&lt;&gt;In production",Sched_Status,"&lt;&gt;Shipped",Sched_Status,"&lt;&gt;Delivered",Sched_Status,"&lt;&gt;Installed")=0,"",_xlfn.MINIFS(Sched_OrderBy,Sched_Supplier,A29,Sched_Status,"&lt;&gt;Ordered",Sched_Status,"&lt;&gt;In production",Sched_Status,"&lt;&gt;Shipped",Sched_Status,"&lt;&gt;Delivered",Sched_Status,"&lt;&gt;Installed")))</f>
        <v/>
      </c>
    </row>
    <row r="30">
      <c r="A30" s="43" t="n"/>
      <c r="B30" s="43" t="n"/>
      <c r="C30" s="43" t="n"/>
      <c r="D30" s="43" t="n"/>
      <c r="E30" s="43" t="n"/>
      <c r="F30" s="43" t="n"/>
      <c r="G30" s="43" t="n"/>
      <c r="H30" s="44">
        <f>IF(A30="","",SUMPRODUCT((Sched_Supplier=A30)*(Sched_Item&lt;&gt;"")))</f>
        <v/>
      </c>
      <c r="I30" s="44">
        <f>IF(A30="","",H30-SUMPRODUCT((Sched_Supplier=A30)*ISNUMBER(MATCH(Sched_Status,OrderedStatuses,0))))</f>
        <v/>
      </c>
      <c r="J30" s="45">
        <f>IF(A30="","",SUMIFS(Sched_LineGBP,Sched_Supplier,A30))</f>
        <v/>
      </c>
      <c r="K30" s="54">
        <f>IF(OR(A30="",C30=""),"",SUMPRODUCT((Sched_Supplier=A30)*(Sched_Currency=C30)*Sched_Qty*Sched_UnitCost))</f>
        <v/>
      </c>
      <c r="L30" s="44">
        <f>IF(A30="","",COUNTIFS(Sched_Supplier,A30,Sched_Risk,"Blocked")+COUNTIFS(Sched_Supplier,A30,Sched_Risk,"Late"))</f>
        <v/>
      </c>
      <c r="M30" s="44">
        <f>IF(A30="","",COUNTIFS(Sched_Supplier,A30,Sched_Risk,"At risk"))</f>
        <v/>
      </c>
      <c r="N30" s="46">
        <f>IF(A30="","",IF(_xlfn.MINIFS(Sched_OrderBy,Sched_Supplier,A30,Sched_Status,"&lt;&gt;Ordered",Sched_Status,"&lt;&gt;In production",Sched_Status,"&lt;&gt;Shipped",Sched_Status,"&lt;&gt;Delivered",Sched_Status,"&lt;&gt;Installed")=0,"",_xlfn.MINIFS(Sched_OrderBy,Sched_Supplier,A30,Sched_Status,"&lt;&gt;Ordered",Sched_Status,"&lt;&gt;In production",Sched_Status,"&lt;&gt;Shipped",Sched_Status,"&lt;&gt;Delivered",Sched_Status,"&lt;&gt;Installed")))</f>
        <v/>
      </c>
    </row>
    <row r="31">
      <c r="A31" s="43" t="n"/>
      <c r="B31" s="43" t="n"/>
      <c r="C31" s="43" t="n"/>
      <c r="D31" s="43" t="n"/>
      <c r="E31" s="43" t="n"/>
      <c r="F31" s="43" t="n"/>
      <c r="G31" s="43" t="n"/>
      <c r="H31" s="44">
        <f>IF(A31="","",SUMPRODUCT((Sched_Supplier=A31)*(Sched_Item&lt;&gt;"")))</f>
        <v/>
      </c>
      <c r="I31" s="44">
        <f>IF(A31="","",H31-SUMPRODUCT((Sched_Supplier=A31)*ISNUMBER(MATCH(Sched_Status,OrderedStatuses,0))))</f>
        <v/>
      </c>
      <c r="J31" s="45">
        <f>IF(A31="","",SUMIFS(Sched_LineGBP,Sched_Supplier,A31))</f>
        <v/>
      </c>
      <c r="K31" s="54">
        <f>IF(OR(A31="",C31=""),"",SUMPRODUCT((Sched_Supplier=A31)*(Sched_Currency=C31)*Sched_Qty*Sched_UnitCost))</f>
        <v/>
      </c>
      <c r="L31" s="44">
        <f>IF(A31="","",COUNTIFS(Sched_Supplier,A31,Sched_Risk,"Blocked")+COUNTIFS(Sched_Supplier,A31,Sched_Risk,"Late"))</f>
        <v/>
      </c>
      <c r="M31" s="44">
        <f>IF(A31="","",COUNTIFS(Sched_Supplier,A31,Sched_Risk,"At risk"))</f>
        <v/>
      </c>
      <c r="N31" s="46">
        <f>IF(A31="","",IF(_xlfn.MINIFS(Sched_OrderBy,Sched_Supplier,A31,Sched_Status,"&lt;&gt;Ordered",Sched_Status,"&lt;&gt;In production",Sched_Status,"&lt;&gt;Shipped",Sched_Status,"&lt;&gt;Delivered",Sched_Status,"&lt;&gt;Installed")=0,"",_xlfn.MINIFS(Sched_OrderBy,Sched_Supplier,A31,Sched_Status,"&lt;&gt;Ordered",Sched_Status,"&lt;&gt;In production",Sched_Status,"&lt;&gt;Shipped",Sched_Status,"&lt;&gt;Delivered",Sched_Status,"&lt;&gt;Installed")))</f>
        <v/>
      </c>
    </row>
    <row r="32">
      <c r="A32" s="43" t="n"/>
      <c r="B32" s="43" t="n"/>
      <c r="C32" s="43" t="n"/>
      <c r="D32" s="43" t="n"/>
      <c r="E32" s="43" t="n"/>
      <c r="F32" s="43" t="n"/>
      <c r="G32" s="43" t="n"/>
      <c r="H32" s="44">
        <f>IF(A32="","",SUMPRODUCT((Sched_Supplier=A32)*(Sched_Item&lt;&gt;"")))</f>
        <v/>
      </c>
      <c r="I32" s="44">
        <f>IF(A32="","",H32-SUMPRODUCT((Sched_Supplier=A32)*ISNUMBER(MATCH(Sched_Status,OrderedStatuses,0))))</f>
        <v/>
      </c>
      <c r="J32" s="45">
        <f>IF(A32="","",SUMIFS(Sched_LineGBP,Sched_Supplier,A32))</f>
        <v/>
      </c>
      <c r="K32" s="54">
        <f>IF(OR(A32="",C32=""),"",SUMPRODUCT((Sched_Supplier=A32)*(Sched_Currency=C32)*Sched_Qty*Sched_UnitCost))</f>
        <v/>
      </c>
      <c r="L32" s="44">
        <f>IF(A32="","",COUNTIFS(Sched_Supplier,A32,Sched_Risk,"Blocked")+COUNTIFS(Sched_Supplier,A32,Sched_Risk,"Late"))</f>
        <v/>
      </c>
      <c r="M32" s="44">
        <f>IF(A32="","",COUNTIFS(Sched_Supplier,A32,Sched_Risk,"At risk"))</f>
        <v/>
      </c>
      <c r="N32" s="46">
        <f>IF(A32="","",IF(_xlfn.MINIFS(Sched_OrderBy,Sched_Supplier,A32,Sched_Status,"&lt;&gt;Ordered",Sched_Status,"&lt;&gt;In production",Sched_Status,"&lt;&gt;Shipped",Sched_Status,"&lt;&gt;Delivered",Sched_Status,"&lt;&gt;Installed")=0,"",_xlfn.MINIFS(Sched_OrderBy,Sched_Supplier,A32,Sched_Status,"&lt;&gt;Ordered",Sched_Status,"&lt;&gt;In production",Sched_Status,"&lt;&gt;Shipped",Sched_Status,"&lt;&gt;Delivered",Sched_Status,"&lt;&gt;Installed")))</f>
        <v/>
      </c>
    </row>
    <row r="33">
      <c r="A33" s="43" t="n"/>
      <c r="B33" s="43" t="n"/>
      <c r="C33" s="43" t="n"/>
      <c r="D33" s="43" t="n"/>
      <c r="E33" s="43" t="n"/>
      <c r="F33" s="43" t="n"/>
      <c r="G33" s="43" t="n"/>
      <c r="H33" s="44">
        <f>IF(A33="","",SUMPRODUCT((Sched_Supplier=A33)*(Sched_Item&lt;&gt;"")))</f>
        <v/>
      </c>
      <c r="I33" s="44">
        <f>IF(A33="","",H33-SUMPRODUCT((Sched_Supplier=A33)*ISNUMBER(MATCH(Sched_Status,OrderedStatuses,0))))</f>
        <v/>
      </c>
      <c r="J33" s="45">
        <f>IF(A33="","",SUMIFS(Sched_LineGBP,Sched_Supplier,A33))</f>
        <v/>
      </c>
      <c r="K33" s="54">
        <f>IF(OR(A33="",C33=""),"",SUMPRODUCT((Sched_Supplier=A33)*(Sched_Currency=C33)*Sched_Qty*Sched_UnitCost))</f>
        <v/>
      </c>
      <c r="L33" s="44">
        <f>IF(A33="","",COUNTIFS(Sched_Supplier,A33,Sched_Risk,"Blocked")+COUNTIFS(Sched_Supplier,A33,Sched_Risk,"Late"))</f>
        <v/>
      </c>
      <c r="M33" s="44">
        <f>IF(A33="","",COUNTIFS(Sched_Supplier,A33,Sched_Risk,"At risk"))</f>
        <v/>
      </c>
      <c r="N33" s="46">
        <f>IF(A33="","",IF(_xlfn.MINIFS(Sched_OrderBy,Sched_Supplier,A33,Sched_Status,"&lt;&gt;Ordered",Sched_Status,"&lt;&gt;In production",Sched_Status,"&lt;&gt;Shipped",Sched_Status,"&lt;&gt;Delivered",Sched_Status,"&lt;&gt;Installed")=0,"",_xlfn.MINIFS(Sched_OrderBy,Sched_Supplier,A33,Sched_Status,"&lt;&gt;Ordered",Sched_Status,"&lt;&gt;In production",Sched_Status,"&lt;&gt;Shipped",Sched_Status,"&lt;&gt;Delivered",Sched_Status,"&lt;&gt;Installed")))</f>
        <v/>
      </c>
    </row>
    <row r="34">
      <c r="A34" s="43" t="n"/>
      <c r="B34" s="43" t="n"/>
      <c r="C34" s="43" t="n"/>
      <c r="D34" s="43" t="n"/>
      <c r="E34" s="43" t="n"/>
      <c r="F34" s="43" t="n"/>
      <c r="G34" s="43" t="n"/>
      <c r="H34" s="44">
        <f>IF(A34="","",SUMPRODUCT((Sched_Supplier=A34)*(Sched_Item&lt;&gt;"")))</f>
        <v/>
      </c>
      <c r="I34" s="44">
        <f>IF(A34="","",H34-SUMPRODUCT((Sched_Supplier=A34)*ISNUMBER(MATCH(Sched_Status,OrderedStatuses,0))))</f>
        <v/>
      </c>
      <c r="J34" s="45">
        <f>IF(A34="","",SUMIFS(Sched_LineGBP,Sched_Supplier,A34))</f>
        <v/>
      </c>
      <c r="K34" s="54">
        <f>IF(OR(A34="",C34=""),"",SUMPRODUCT((Sched_Supplier=A34)*(Sched_Currency=C34)*Sched_Qty*Sched_UnitCost))</f>
        <v/>
      </c>
      <c r="L34" s="44">
        <f>IF(A34="","",COUNTIFS(Sched_Supplier,A34,Sched_Risk,"Blocked")+COUNTIFS(Sched_Supplier,A34,Sched_Risk,"Late"))</f>
        <v/>
      </c>
      <c r="M34" s="44">
        <f>IF(A34="","",COUNTIFS(Sched_Supplier,A34,Sched_Risk,"At risk"))</f>
        <v/>
      </c>
      <c r="N34" s="46">
        <f>IF(A34="","",IF(_xlfn.MINIFS(Sched_OrderBy,Sched_Supplier,A34,Sched_Status,"&lt;&gt;Ordered",Sched_Status,"&lt;&gt;In production",Sched_Status,"&lt;&gt;Shipped",Sched_Status,"&lt;&gt;Delivered",Sched_Status,"&lt;&gt;Installed")=0,"",_xlfn.MINIFS(Sched_OrderBy,Sched_Supplier,A34,Sched_Status,"&lt;&gt;Ordered",Sched_Status,"&lt;&gt;In production",Sched_Status,"&lt;&gt;Shipped",Sched_Status,"&lt;&gt;Delivered",Sched_Status,"&lt;&gt;Installed")))</f>
        <v/>
      </c>
    </row>
    <row r="35">
      <c r="A35" s="43" t="n"/>
      <c r="B35" s="43" t="n"/>
      <c r="C35" s="43" t="n"/>
      <c r="D35" s="43" t="n"/>
      <c r="E35" s="43" t="n"/>
      <c r="F35" s="43" t="n"/>
      <c r="G35" s="43" t="n"/>
      <c r="H35" s="44">
        <f>IF(A35="","",SUMPRODUCT((Sched_Supplier=A35)*(Sched_Item&lt;&gt;"")))</f>
        <v/>
      </c>
      <c r="I35" s="44">
        <f>IF(A35="","",H35-SUMPRODUCT((Sched_Supplier=A35)*ISNUMBER(MATCH(Sched_Status,OrderedStatuses,0))))</f>
        <v/>
      </c>
      <c r="J35" s="45">
        <f>IF(A35="","",SUMIFS(Sched_LineGBP,Sched_Supplier,A35))</f>
        <v/>
      </c>
      <c r="K35" s="54">
        <f>IF(OR(A35="",C35=""),"",SUMPRODUCT((Sched_Supplier=A35)*(Sched_Currency=C35)*Sched_Qty*Sched_UnitCost))</f>
        <v/>
      </c>
      <c r="L35" s="44">
        <f>IF(A35="","",COUNTIFS(Sched_Supplier,A35,Sched_Risk,"Blocked")+COUNTIFS(Sched_Supplier,A35,Sched_Risk,"Late"))</f>
        <v/>
      </c>
      <c r="M35" s="44">
        <f>IF(A35="","",COUNTIFS(Sched_Supplier,A35,Sched_Risk,"At risk"))</f>
        <v/>
      </c>
      <c r="N35" s="46">
        <f>IF(A35="","",IF(_xlfn.MINIFS(Sched_OrderBy,Sched_Supplier,A35,Sched_Status,"&lt;&gt;Ordered",Sched_Status,"&lt;&gt;In production",Sched_Status,"&lt;&gt;Shipped",Sched_Status,"&lt;&gt;Delivered",Sched_Status,"&lt;&gt;Installed")=0,"",_xlfn.MINIFS(Sched_OrderBy,Sched_Supplier,A35,Sched_Status,"&lt;&gt;Ordered",Sched_Status,"&lt;&gt;In production",Sched_Status,"&lt;&gt;Shipped",Sched_Status,"&lt;&gt;Delivered",Sched_Status,"&lt;&gt;Installed")))</f>
        <v/>
      </c>
    </row>
    <row r="36">
      <c r="A36" s="43" t="n"/>
      <c r="B36" s="43" t="n"/>
      <c r="C36" s="43" t="n"/>
      <c r="D36" s="43" t="n"/>
      <c r="E36" s="43" t="n"/>
      <c r="F36" s="43" t="n"/>
      <c r="G36" s="43" t="n"/>
      <c r="H36" s="44">
        <f>IF(A36="","",SUMPRODUCT((Sched_Supplier=A36)*(Sched_Item&lt;&gt;"")))</f>
        <v/>
      </c>
      <c r="I36" s="44">
        <f>IF(A36="","",H36-SUMPRODUCT((Sched_Supplier=A36)*ISNUMBER(MATCH(Sched_Status,OrderedStatuses,0))))</f>
        <v/>
      </c>
      <c r="J36" s="45">
        <f>IF(A36="","",SUMIFS(Sched_LineGBP,Sched_Supplier,A36))</f>
        <v/>
      </c>
      <c r="K36" s="54">
        <f>IF(OR(A36="",C36=""),"",SUMPRODUCT((Sched_Supplier=A36)*(Sched_Currency=C36)*Sched_Qty*Sched_UnitCost))</f>
        <v/>
      </c>
      <c r="L36" s="44">
        <f>IF(A36="","",COUNTIFS(Sched_Supplier,A36,Sched_Risk,"Blocked")+COUNTIFS(Sched_Supplier,A36,Sched_Risk,"Late"))</f>
        <v/>
      </c>
      <c r="M36" s="44">
        <f>IF(A36="","",COUNTIFS(Sched_Supplier,A36,Sched_Risk,"At risk"))</f>
        <v/>
      </c>
      <c r="N36" s="46">
        <f>IF(A36="","",IF(_xlfn.MINIFS(Sched_OrderBy,Sched_Supplier,A36,Sched_Status,"&lt;&gt;Ordered",Sched_Status,"&lt;&gt;In production",Sched_Status,"&lt;&gt;Shipped",Sched_Status,"&lt;&gt;Delivered",Sched_Status,"&lt;&gt;Installed")=0,"",_xlfn.MINIFS(Sched_OrderBy,Sched_Supplier,A36,Sched_Status,"&lt;&gt;Ordered",Sched_Status,"&lt;&gt;In production",Sched_Status,"&lt;&gt;Shipped",Sched_Status,"&lt;&gt;Delivered",Sched_Status,"&lt;&gt;Installed")))</f>
        <v/>
      </c>
    </row>
    <row r="37">
      <c r="A37" s="43" t="n"/>
      <c r="B37" s="43" t="n"/>
      <c r="C37" s="43" t="n"/>
      <c r="D37" s="43" t="n"/>
      <c r="E37" s="43" t="n"/>
      <c r="F37" s="43" t="n"/>
      <c r="G37" s="43" t="n"/>
      <c r="H37" s="44">
        <f>IF(A37="","",SUMPRODUCT((Sched_Supplier=A37)*(Sched_Item&lt;&gt;"")))</f>
        <v/>
      </c>
      <c r="I37" s="44">
        <f>IF(A37="","",H37-SUMPRODUCT((Sched_Supplier=A37)*ISNUMBER(MATCH(Sched_Status,OrderedStatuses,0))))</f>
        <v/>
      </c>
      <c r="J37" s="45">
        <f>IF(A37="","",SUMIFS(Sched_LineGBP,Sched_Supplier,A37))</f>
        <v/>
      </c>
      <c r="K37" s="54">
        <f>IF(OR(A37="",C37=""),"",SUMPRODUCT((Sched_Supplier=A37)*(Sched_Currency=C37)*Sched_Qty*Sched_UnitCost))</f>
        <v/>
      </c>
      <c r="L37" s="44">
        <f>IF(A37="","",COUNTIFS(Sched_Supplier,A37,Sched_Risk,"Blocked")+COUNTIFS(Sched_Supplier,A37,Sched_Risk,"Late"))</f>
        <v/>
      </c>
      <c r="M37" s="44">
        <f>IF(A37="","",COUNTIFS(Sched_Supplier,A37,Sched_Risk,"At risk"))</f>
        <v/>
      </c>
      <c r="N37" s="46">
        <f>IF(A37="","",IF(_xlfn.MINIFS(Sched_OrderBy,Sched_Supplier,A37,Sched_Status,"&lt;&gt;Ordered",Sched_Status,"&lt;&gt;In production",Sched_Status,"&lt;&gt;Shipped",Sched_Status,"&lt;&gt;Delivered",Sched_Status,"&lt;&gt;Installed")=0,"",_xlfn.MINIFS(Sched_OrderBy,Sched_Supplier,A37,Sched_Status,"&lt;&gt;Ordered",Sched_Status,"&lt;&gt;In production",Sched_Status,"&lt;&gt;Shipped",Sched_Status,"&lt;&gt;Delivered",Sched_Status,"&lt;&gt;Installed")))</f>
        <v/>
      </c>
    </row>
    <row r="38">
      <c r="A38" s="43" t="n"/>
      <c r="B38" s="43" t="n"/>
      <c r="C38" s="43" t="n"/>
      <c r="D38" s="43" t="n"/>
      <c r="E38" s="43" t="n"/>
      <c r="F38" s="43" t="n"/>
      <c r="G38" s="43" t="n"/>
      <c r="H38" s="44">
        <f>IF(A38="","",SUMPRODUCT((Sched_Supplier=A38)*(Sched_Item&lt;&gt;"")))</f>
        <v/>
      </c>
      <c r="I38" s="44">
        <f>IF(A38="","",H38-SUMPRODUCT((Sched_Supplier=A38)*ISNUMBER(MATCH(Sched_Status,OrderedStatuses,0))))</f>
        <v/>
      </c>
      <c r="J38" s="45">
        <f>IF(A38="","",SUMIFS(Sched_LineGBP,Sched_Supplier,A38))</f>
        <v/>
      </c>
      <c r="K38" s="54">
        <f>IF(OR(A38="",C38=""),"",SUMPRODUCT((Sched_Supplier=A38)*(Sched_Currency=C38)*Sched_Qty*Sched_UnitCost))</f>
        <v/>
      </c>
      <c r="L38" s="44">
        <f>IF(A38="","",COUNTIFS(Sched_Supplier,A38,Sched_Risk,"Blocked")+COUNTIFS(Sched_Supplier,A38,Sched_Risk,"Late"))</f>
        <v/>
      </c>
      <c r="M38" s="44">
        <f>IF(A38="","",COUNTIFS(Sched_Supplier,A38,Sched_Risk,"At risk"))</f>
        <v/>
      </c>
      <c r="N38" s="46">
        <f>IF(A38="","",IF(_xlfn.MINIFS(Sched_OrderBy,Sched_Supplier,A38,Sched_Status,"&lt;&gt;Ordered",Sched_Status,"&lt;&gt;In production",Sched_Status,"&lt;&gt;Shipped",Sched_Status,"&lt;&gt;Delivered",Sched_Status,"&lt;&gt;Installed")=0,"",_xlfn.MINIFS(Sched_OrderBy,Sched_Supplier,A38,Sched_Status,"&lt;&gt;Ordered",Sched_Status,"&lt;&gt;In production",Sched_Status,"&lt;&gt;Shipped",Sched_Status,"&lt;&gt;Delivered",Sched_Status,"&lt;&gt;Installed")))</f>
        <v/>
      </c>
    </row>
    <row r="39">
      <c r="A39" s="43" t="n"/>
      <c r="B39" s="43" t="n"/>
      <c r="C39" s="43" t="n"/>
      <c r="D39" s="43" t="n"/>
      <c r="E39" s="43" t="n"/>
      <c r="F39" s="43" t="n"/>
      <c r="G39" s="43" t="n"/>
      <c r="H39" s="44">
        <f>IF(A39="","",SUMPRODUCT((Sched_Supplier=A39)*(Sched_Item&lt;&gt;"")))</f>
        <v/>
      </c>
      <c r="I39" s="44">
        <f>IF(A39="","",H39-SUMPRODUCT((Sched_Supplier=A39)*ISNUMBER(MATCH(Sched_Status,OrderedStatuses,0))))</f>
        <v/>
      </c>
      <c r="J39" s="45">
        <f>IF(A39="","",SUMIFS(Sched_LineGBP,Sched_Supplier,A39))</f>
        <v/>
      </c>
      <c r="K39" s="54">
        <f>IF(OR(A39="",C39=""),"",SUMPRODUCT((Sched_Supplier=A39)*(Sched_Currency=C39)*Sched_Qty*Sched_UnitCost))</f>
        <v/>
      </c>
      <c r="L39" s="44">
        <f>IF(A39="","",COUNTIFS(Sched_Supplier,A39,Sched_Risk,"Blocked")+COUNTIFS(Sched_Supplier,A39,Sched_Risk,"Late"))</f>
        <v/>
      </c>
      <c r="M39" s="44">
        <f>IF(A39="","",COUNTIFS(Sched_Supplier,A39,Sched_Risk,"At risk"))</f>
        <v/>
      </c>
      <c r="N39" s="46">
        <f>IF(A39="","",IF(_xlfn.MINIFS(Sched_OrderBy,Sched_Supplier,A39,Sched_Status,"&lt;&gt;Ordered",Sched_Status,"&lt;&gt;In production",Sched_Status,"&lt;&gt;Shipped",Sched_Status,"&lt;&gt;Delivered",Sched_Status,"&lt;&gt;Installed")=0,"",_xlfn.MINIFS(Sched_OrderBy,Sched_Supplier,A39,Sched_Status,"&lt;&gt;Ordered",Sched_Status,"&lt;&gt;In production",Sched_Status,"&lt;&gt;Shipped",Sched_Status,"&lt;&gt;Delivered",Sched_Status,"&lt;&gt;Installed")))</f>
        <v/>
      </c>
    </row>
    <row r="40">
      <c r="A40" s="43" t="n"/>
      <c r="B40" s="43" t="n"/>
      <c r="C40" s="43" t="n"/>
      <c r="D40" s="43" t="n"/>
      <c r="E40" s="43" t="n"/>
      <c r="F40" s="43" t="n"/>
      <c r="G40" s="43" t="n"/>
      <c r="H40" s="44">
        <f>IF(A40="","",SUMPRODUCT((Sched_Supplier=A40)*(Sched_Item&lt;&gt;"")))</f>
        <v/>
      </c>
      <c r="I40" s="44">
        <f>IF(A40="","",H40-SUMPRODUCT((Sched_Supplier=A40)*ISNUMBER(MATCH(Sched_Status,OrderedStatuses,0))))</f>
        <v/>
      </c>
      <c r="J40" s="45">
        <f>IF(A40="","",SUMIFS(Sched_LineGBP,Sched_Supplier,A40))</f>
        <v/>
      </c>
      <c r="K40" s="54">
        <f>IF(OR(A40="",C40=""),"",SUMPRODUCT((Sched_Supplier=A40)*(Sched_Currency=C40)*Sched_Qty*Sched_UnitCost))</f>
        <v/>
      </c>
      <c r="L40" s="44">
        <f>IF(A40="","",COUNTIFS(Sched_Supplier,A40,Sched_Risk,"Blocked")+COUNTIFS(Sched_Supplier,A40,Sched_Risk,"Late"))</f>
        <v/>
      </c>
      <c r="M40" s="44">
        <f>IF(A40="","",COUNTIFS(Sched_Supplier,A40,Sched_Risk,"At risk"))</f>
        <v/>
      </c>
      <c r="N40" s="46">
        <f>IF(A40="","",IF(_xlfn.MINIFS(Sched_OrderBy,Sched_Supplier,A40,Sched_Status,"&lt;&gt;Ordered",Sched_Status,"&lt;&gt;In production",Sched_Status,"&lt;&gt;Shipped",Sched_Status,"&lt;&gt;Delivered",Sched_Status,"&lt;&gt;Installed")=0,"",_xlfn.MINIFS(Sched_OrderBy,Sched_Supplier,A40,Sched_Status,"&lt;&gt;Ordered",Sched_Status,"&lt;&gt;In production",Sched_Status,"&lt;&gt;Shipped",Sched_Status,"&lt;&gt;Delivered",Sched_Status,"&lt;&gt;Installed")))</f>
        <v/>
      </c>
    </row>
    <row r="41">
      <c r="A41" s="43" t="n"/>
      <c r="B41" s="43" t="n"/>
      <c r="C41" s="43" t="n"/>
      <c r="D41" s="43" t="n"/>
      <c r="E41" s="43" t="n"/>
      <c r="F41" s="43" t="n"/>
      <c r="G41" s="43" t="n"/>
      <c r="H41" s="44">
        <f>IF(A41="","",SUMPRODUCT((Sched_Supplier=A41)*(Sched_Item&lt;&gt;"")))</f>
        <v/>
      </c>
      <c r="I41" s="44">
        <f>IF(A41="","",H41-SUMPRODUCT((Sched_Supplier=A41)*ISNUMBER(MATCH(Sched_Status,OrderedStatuses,0))))</f>
        <v/>
      </c>
      <c r="J41" s="45">
        <f>IF(A41="","",SUMIFS(Sched_LineGBP,Sched_Supplier,A41))</f>
        <v/>
      </c>
      <c r="K41" s="54">
        <f>IF(OR(A41="",C41=""),"",SUMPRODUCT((Sched_Supplier=A41)*(Sched_Currency=C41)*Sched_Qty*Sched_UnitCost))</f>
        <v/>
      </c>
      <c r="L41" s="44">
        <f>IF(A41="","",COUNTIFS(Sched_Supplier,A41,Sched_Risk,"Blocked")+COUNTIFS(Sched_Supplier,A41,Sched_Risk,"Late"))</f>
        <v/>
      </c>
      <c r="M41" s="44">
        <f>IF(A41="","",COUNTIFS(Sched_Supplier,A41,Sched_Risk,"At risk"))</f>
        <v/>
      </c>
      <c r="N41" s="46">
        <f>IF(A41="","",IF(_xlfn.MINIFS(Sched_OrderBy,Sched_Supplier,A41,Sched_Status,"&lt;&gt;Ordered",Sched_Status,"&lt;&gt;In production",Sched_Status,"&lt;&gt;Shipped",Sched_Status,"&lt;&gt;Delivered",Sched_Status,"&lt;&gt;Installed")=0,"",_xlfn.MINIFS(Sched_OrderBy,Sched_Supplier,A41,Sched_Status,"&lt;&gt;Ordered",Sched_Status,"&lt;&gt;In production",Sched_Status,"&lt;&gt;Shipped",Sched_Status,"&lt;&gt;Delivered",Sched_Status,"&lt;&gt;Installed")))</f>
        <v/>
      </c>
    </row>
    <row r="42">
      <c r="A42" s="43" t="n"/>
      <c r="B42" s="43" t="n"/>
      <c r="C42" s="43" t="n"/>
      <c r="D42" s="43" t="n"/>
      <c r="E42" s="43" t="n"/>
      <c r="F42" s="43" t="n"/>
      <c r="G42" s="43" t="n"/>
      <c r="H42" s="44">
        <f>IF(A42="","",SUMPRODUCT((Sched_Supplier=A42)*(Sched_Item&lt;&gt;"")))</f>
        <v/>
      </c>
      <c r="I42" s="44">
        <f>IF(A42="","",H42-SUMPRODUCT((Sched_Supplier=A42)*ISNUMBER(MATCH(Sched_Status,OrderedStatuses,0))))</f>
        <v/>
      </c>
      <c r="J42" s="45">
        <f>IF(A42="","",SUMIFS(Sched_LineGBP,Sched_Supplier,A42))</f>
        <v/>
      </c>
      <c r="K42" s="54">
        <f>IF(OR(A42="",C42=""),"",SUMPRODUCT((Sched_Supplier=A42)*(Sched_Currency=C42)*Sched_Qty*Sched_UnitCost))</f>
        <v/>
      </c>
      <c r="L42" s="44">
        <f>IF(A42="","",COUNTIFS(Sched_Supplier,A42,Sched_Risk,"Blocked")+COUNTIFS(Sched_Supplier,A42,Sched_Risk,"Late"))</f>
        <v/>
      </c>
      <c r="M42" s="44">
        <f>IF(A42="","",COUNTIFS(Sched_Supplier,A42,Sched_Risk,"At risk"))</f>
        <v/>
      </c>
      <c r="N42" s="46">
        <f>IF(A42="","",IF(_xlfn.MINIFS(Sched_OrderBy,Sched_Supplier,A42,Sched_Status,"&lt;&gt;Ordered",Sched_Status,"&lt;&gt;In production",Sched_Status,"&lt;&gt;Shipped",Sched_Status,"&lt;&gt;Delivered",Sched_Status,"&lt;&gt;Installed")=0,"",_xlfn.MINIFS(Sched_OrderBy,Sched_Supplier,A42,Sched_Status,"&lt;&gt;Ordered",Sched_Status,"&lt;&gt;In production",Sched_Status,"&lt;&gt;Shipped",Sched_Status,"&lt;&gt;Delivered",Sched_Status,"&lt;&gt;Installed")))</f>
        <v/>
      </c>
    </row>
    <row r="43">
      <c r="A43" s="43" t="n"/>
      <c r="B43" s="43" t="n"/>
      <c r="C43" s="43" t="n"/>
      <c r="D43" s="43" t="n"/>
      <c r="E43" s="43" t="n"/>
      <c r="F43" s="43" t="n"/>
      <c r="G43" s="43" t="n"/>
      <c r="H43" s="44">
        <f>IF(A43="","",SUMPRODUCT((Sched_Supplier=A43)*(Sched_Item&lt;&gt;"")))</f>
        <v/>
      </c>
      <c r="I43" s="44">
        <f>IF(A43="","",H43-SUMPRODUCT((Sched_Supplier=A43)*ISNUMBER(MATCH(Sched_Status,OrderedStatuses,0))))</f>
        <v/>
      </c>
      <c r="J43" s="45">
        <f>IF(A43="","",SUMIFS(Sched_LineGBP,Sched_Supplier,A43))</f>
        <v/>
      </c>
      <c r="K43" s="54">
        <f>IF(OR(A43="",C43=""),"",SUMPRODUCT((Sched_Supplier=A43)*(Sched_Currency=C43)*Sched_Qty*Sched_UnitCost))</f>
        <v/>
      </c>
      <c r="L43" s="44">
        <f>IF(A43="","",COUNTIFS(Sched_Supplier,A43,Sched_Risk,"Blocked")+COUNTIFS(Sched_Supplier,A43,Sched_Risk,"Late"))</f>
        <v/>
      </c>
      <c r="M43" s="44">
        <f>IF(A43="","",COUNTIFS(Sched_Supplier,A43,Sched_Risk,"At risk"))</f>
        <v/>
      </c>
      <c r="N43" s="46">
        <f>IF(A43="","",IF(_xlfn.MINIFS(Sched_OrderBy,Sched_Supplier,A43,Sched_Status,"&lt;&gt;Ordered",Sched_Status,"&lt;&gt;In production",Sched_Status,"&lt;&gt;Shipped",Sched_Status,"&lt;&gt;Delivered",Sched_Status,"&lt;&gt;Installed")=0,"",_xlfn.MINIFS(Sched_OrderBy,Sched_Supplier,A43,Sched_Status,"&lt;&gt;Ordered",Sched_Status,"&lt;&gt;In production",Sched_Status,"&lt;&gt;Shipped",Sched_Status,"&lt;&gt;Delivered",Sched_Status,"&lt;&gt;Installed")))</f>
        <v/>
      </c>
    </row>
    <row r="44">
      <c r="A44" s="43" t="n"/>
      <c r="B44" s="43" t="n"/>
      <c r="C44" s="43" t="n"/>
      <c r="D44" s="43" t="n"/>
      <c r="E44" s="43" t="n"/>
      <c r="F44" s="43" t="n"/>
      <c r="G44" s="43" t="n"/>
      <c r="H44" s="44">
        <f>IF(A44="","",SUMPRODUCT((Sched_Supplier=A44)*(Sched_Item&lt;&gt;"")))</f>
        <v/>
      </c>
      <c r="I44" s="44">
        <f>IF(A44="","",H44-SUMPRODUCT((Sched_Supplier=A44)*ISNUMBER(MATCH(Sched_Status,OrderedStatuses,0))))</f>
        <v/>
      </c>
      <c r="J44" s="45">
        <f>IF(A44="","",SUMIFS(Sched_LineGBP,Sched_Supplier,A44))</f>
        <v/>
      </c>
      <c r="K44" s="54">
        <f>IF(OR(A44="",C44=""),"",SUMPRODUCT((Sched_Supplier=A44)*(Sched_Currency=C44)*Sched_Qty*Sched_UnitCost))</f>
        <v/>
      </c>
      <c r="L44" s="44">
        <f>IF(A44="","",COUNTIFS(Sched_Supplier,A44,Sched_Risk,"Blocked")+COUNTIFS(Sched_Supplier,A44,Sched_Risk,"Late"))</f>
        <v/>
      </c>
      <c r="M44" s="44">
        <f>IF(A44="","",COUNTIFS(Sched_Supplier,A44,Sched_Risk,"At risk"))</f>
        <v/>
      </c>
      <c r="N44" s="46">
        <f>IF(A44="","",IF(_xlfn.MINIFS(Sched_OrderBy,Sched_Supplier,A44,Sched_Status,"&lt;&gt;Ordered",Sched_Status,"&lt;&gt;In production",Sched_Status,"&lt;&gt;Shipped",Sched_Status,"&lt;&gt;Delivered",Sched_Status,"&lt;&gt;Installed")=0,"",_xlfn.MINIFS(Sched_OrderBy,Sched_Supplier,A44,Sched_Status,"&lt;&gt;Ordered",Sched_Status,"&lt;&gt;In production",Sched_Status,"&lt;&gt;Shipped",Sched_Status,"&lt;&gt;Delivered",Sched_Status,"&lt;&gt;Installed")))</f>
        <v/>
      </c>
    </row>
    <row r="45">
      <c r="A45" s="47" t="inlineStr">
        <is>
          <t>Total</t>
        </is>
      </c>
      <c r="B45" s="48" t="n"/>
      <c r="C45" s="48" t="n"/>
      <c r="D45" s="48" t="n"/>
      <c r="E45" s="48" t="n"/>
      <c r="F45" s="48" t="n"/>
      <c r="G45" s="48" t="n"/>
      <c r="H45" s="49">
        <f>SUM(H5:H44)</f>
        <v/>
      </c>
      <c r="I45" s="49">
        <f>SUM(I5:I44)</f>
        <v/>
      </c>
      <c r="J45" s="50">
        <f>SUM(J5:J44)</f>
        <v/>
      </c>
      <c r="K45" s="48" t="n"/>
      <c r="L45" s="49">
        <f>SUM(L5:L44)</f>
        <v/>
      </c>
      <c r="M45" s="49">
        <f>SUM(M5:M44)</f>
        <v/>
      </c>
      <c r="N45" s="48" t="n"/>
    </row>
    <row r="47">
      <c r="A47" s="51" t="inlineStr">
        <is>
          <t>Check: schedule lines with a supplier not listed above</t>
        </is>
      </c>
      <c r="H47" s="53">
        <f>COUNTA(Sched_Item)-H45</f>
        <v/>
      </c>
    </row>
    <row r="48">
      <c r="A48" s="51" t="inlineStr">
        <is>
          <t>Supplier names and emails above are fictional sample data (example.com addresses).</t>
        </is>
      </c>
    </row>
  </sheetData>
  <sheetProtection selectLockedCells="0" selectUnlockedCells="0" sheet="1" objects="0" insertRows="1" insertHyperlinks="1" autoFilter="1" scenarios="0" formatColumns="0" deleteColumns="1" insertColumns="1" pivotTables="1" deleteRows="1" formatCells="1" formatRows="1" sort="1"/>
  <conditionalFormatting sqref="H47">
    <cfRule type="expression" priority="1" dxfId="0">
      <formula>H47&gt;0</formula>
    </cfRule>
  </conditionalFormatting>
  <dataValidations count="1">
    <dataValidation sqref="C5:C44" showDropDown="0" showInputMessage="0" showErrorMessage="0" allowBlank="1" type="list">
      <formula1>=FX_Code</formula1>
    </dataValidation>
  </dataValidations>
  <pageMargins left="0.75" right="0.75" top="1" bottom="1" header="0.5" footer="0.5"/>
  <pageSetup orientation="landscape" paperSize="9" fitToHeight="0" fitToWidth="1"/>
  <headerFooter>
    <oddHeader/>
    <oddFooter>&amp;L&amp;8 Made by Techstyles · techstyles.ai&amp;R&amp;8 Page &amp;P of &amp;N</oddFooter>
    <evenHeader/>
    <evenFooter/>
    <firstHeader/>
    <firstFooter/>
  </headerFooter>
</worksheet>
</file>

<file path=xl/worksheets/sheet5.xml><?xml version="1.0" encoding="utf-8"?>
<worksheet xmlns="http://schemas.openxmlformats.org/spreadsheetml/2006/main">
  <sheetPr>
    <tabColor rgb="001F1D1A"/>
    <outlinePr summaryBelow="1" summaryRight="1"/>
    <pageSetUpPr/>
  </sheetPr>
  <dimension ref="A1:M30"/>
  <sheetViews>
    <sheetView showGridLines="0" workbookViewId="0">
      <selection activeCell="A1" sqref="A1"/>
    </sheetView>
  </sheetViews>
  <sheetFormatPr baseColWidth="8" defaultRowHeight="15"/>
  <cols>
    <col width="20" customWidth="1" min="1" max="1"/>
    <col width="2" customWidth="1" min="2" max="2"/>
    <col width="20" customWidth="1" min="3" max="3"/>
    <col width="2" customWidth="1" min="4" max="4"/>
    <col width="11" customWidth="1" min="5" max="5"/>
    <col width="15" customWidth="1" min="6" max="6"/>
    <col width="2" customWidth="1" min="7" max="7"/>
    <col width="10" customWidth="1" min="8" max="8"/>
    <col width="2" customWidth="1" min="9" max="9"/>
    <col width="44" customWidth="1" min="10" max="10"/>
    <col width="10" customWidth="1" min="11" max="11"/>
  </cols>
  <sheetData>
    <row r="1">
      <c r="A1" s="15" t="inlineStr">
        <is>
          <t>Lists and settings</t>
        </is>
      </c>
      <c r="B1" s="1" t="n"/>
      <c r="C1" s="1" t="n"/>
      <c r="D1" s="1" t="n"/>
      <c r="E1" s="1" t="n"/>
      <c r="F1" s="1" t="n"/>
      <c r="G1" s="1" t="n"/>
      <c r="H1" s="1" t="n"/>
      <c r="I1" s="1" t="n"/>
      <c r="J1" s="1" t="n"/>
      <c r="K1" s="1" t="n"/>
      <c r="L1" s="1" t="n"/>
      <c r="M1" s="1" t="n"/>
    </row>
    <row r="2">
      <c r="A2" s="17" t="inlineStr">
        <is>
          <t>Edit the white cells. Everything else in the workbook reads from here.</t>
        </is>
      </c>
      <c r="B2" s="1" t="n"/>
      <c r="C2" s="1" t="n"/>
      <c r="D2" s="1" t="n"/>
      <c r="E2" s="1" t="n"/>
      <c r="F2" s="1" t="n"/>
      <c r="G2" s="1" t="n"/>
      <c r="H2" s="1" t="n"/>
      <c r="I2" s="1" t="n"/>
      <c r="J2" s="1" t="n"/>
      <c r="K2" s="1" t="n"/>
      <c r="L2" s="1" t="n"/>
      <c r="M2" s="1" t="n"/>
    </row>
    <row r="3" ht="22" customHeight="1">
      <c r="A3" s="41" t="inlineStr">
        <is>
          <t>Status</t>
        </is>
      </c>
      <c r="B3" s="1" t="n"/>
      <c r="C3" s="41" t="inlineStr">
        <is>
          <t>Counts as ordered</t>
        </is>
      </c>
      <c r="D3" s="1" t="n"/>
      <c r="E3" s="41" t="inlineStr">
        <is>
          <t>Currency</t>
        </is>
      </c>
      <c r="F3" s="41" t="inlineStr">
        <is>
          <t>GBP per 1 unit</t>
        </is>
      </c>
      <c r="G3" s="1" t="n"/>
      <c r="H3" s="41" t="inlineStr">
        <is>
          <t>VAT rate</t>
        </is>
      </c>
      <c r="I3" s="1" t="n"/>
      <c r="J3" s="41" t="inlineStr">
        <is>
          <t>Setting</t>
        </is>
      </c>
      <c r="K3" s="41" t="inlineStr">
        <is>
          <t>Value</t>
        </is>
      </c>
      <c r="L3" s="1" t="n"/>
      <c r="M3" s="1" t="n"/>
    </row>
    <row r="4" ht="30" customHeight="1">
      <c r="A4" s="55" t="inlineStr">
        <is>
          <t>Specified</t>
        </is>
      </c>
      <c r="B4" s="1" t="n"/>
      <c r="C4" s="55" t="inlineStr">
        <is>
          <t>Ordered</t>
        </is>
      </c>
      <c r="D4" s="1" t="n"/>
      <c r="E4" s="43" t="inlineStr">
        <is>
          <t>GBP</t>
        </is>
      </c>
      <c r="F4" s="56" t="n">
        <v>1</v>
      </c>
      <c r="G4" s="1" t="n"/>
      <c r="H4" s="57" t="n">
        <v>0.2</v>
      </c>
      <c r="I4" s="1" t="n"/>
      <c r="J4" s="58" t="inlineStr">
        <is>
          <t>Default buffer (days) when the Buffer cell is blank</t>
        </is>
      </c>
      <c r="K4" s="59" t="n">
        <v>7</v>
      </c>
      <c r="L4" s="1" t="n"/>
      <c r="M4" s="1" t="n"/>
    </row>
    <row r="5" ht="30" customHeight="1">
      <c r="A5" s="55" t="inlineStr">
        <is>
          <t>Awaiting approval</t>
        </is>
      </c>
      <c r="B5" s="1" t="n"/>
      <c r="C5" s="55" t="inlineStr">
        <is>
          <t>In production</t>
        </is>
      </c>
      <c r="D5" s="1" t="n"/>
      <c r="E5" s="43" t="inlineStr">
        <is>
          <t>EUR</t>
        </is>
      </c>
      <c r="F5" s="56" t="n">
        <v>0.85</v>
      </c>
      <c r="G5" s="1" t="n"/>
      <c r="H5" s="57" t="n">
        <v>0.05</v>
      </c>
      <c r="I5" s="1" t="n"/>
      <c r="J5" s="58" t="inlineStr">
        <is>
          <t>Default approval buffer (days) when blank</t>
        </is>
      </c>
      <c r="K5" s="59" t="n">
        <v>0</v>
      </c>
      <c r="L5" s="1" t="n"/>
      <c r="M5" s="1" t="n"/>
    </row>
    <row r="6" ht="30" customHeight="1">
      <c r="A6" s="55" t="inlineStr">
        <is>
          <t>Approved</t>
        </is>
      </c>
      <c r="B6" s="1" t="n"/>
      <c r="C6" s="55" t="inlineStr">
        <is>
          <t>Shipped</t>
        </is>
      </c>
      <c r="D6" s="1" t="n"/>
      <c r="E6" s="43" t="inlineStr">
        <is>
          <t>USD</t>
        </is>
      </c>
      <c r="F6" s="56" t="n">
        <v>0.75</v>
      </c>
      <c r="G6" s="1" t="n"/>
      <c r="H6" s="57" t="n">
        <v>0</v>
      </c>
      <c r="I6" s="1" t="n"/>
      <c r="J6" s="58" t="inlineStr">
        <is>
          <t>At-risk window: flag items whose order-by date is this many days away or fewer</t>
        </is>
      </c>
      <c r="K6" s="59" t="n">
        <v>14</v>
      </c>
      <c r="L6" s="1" t="n"/>
      <c r="M6" s="1" t="n"/>
    </row>
    <row r="7">
      <c r="A7" s="55" t="inlineStr">
        <is>
          <t>Ordered</t>
        </is>
      </c>
      <c r="B7" s="1" t="n"/>
      <c r="C7" s="55" t="inlineStr">
        <is>
          <t>Delivered</t>
        </is>
      </c>
      <c r="D7" s="1" t="n"/>
      <c r="E7" s="43" t="inlineStr">
        <is>
          <t>DKK</t>
        </is>
      </c>
      <c r="F7" s="56" t="n">
        <v>0.114</v>
      </c>
      <c r="G7" s="1" t="n"/>
      <c r="H7" s="60" t="n"/>
      <c r="I7" s="1" t="n"/>
      <c r="J7" s="1" t="n"/>
      <c r="K7" s="1" t="n"/>
      <c r="L7" s="1" t="n"/>
      <c r="M7" s="1" t="n"/>
    </row>
    <row r="8">
      <c r="A8" s="55" t="inlineStr">
        <is>
          <t>In production</t>
        </is>
      </c>
      <c r="B8" s="1" t="n"/>
      <c r="C8" s="55" t="inlineStr">
        <is>
          <t>Installed</t>
        </is>
      </c>
      <c r="D8" s="1" t="n"/>
      <c r="E8" s="43" t="inlineStr">
        <is>
          <t>SEK</t>
        </is>
      </c>
      <c r="F8" s="56" t="n">
        <v>0.07199999999999999</v>
      </c>
      <c r="G8" s="1" t="n"/>
      <c r="H8" s="60" t="n"/>
      <c r="I8" s="1" t="n"/>
      <c r="J8" s="61" t="inlineStr">
        <is>
          <t>Buffer = days between delivery and install (site access, checking, snagging).</t>
        </is>
      </c>
      <c r="K8" s="1" t="n"/>
      <c r="L8" s="1" t="n"/>
      <c r="M8" s="1" t="n"/>
    </row>
    <row r="9">
      <c r="A9" s="55" t="inlineStr">
        <is>
          <t>Shipped</t>
        </is>
      </c>
      <c r="B9" s="1" t="n"/>
      <c r="C9" s="1" t="n"/>
      <c r="D9" s="1" t="n"/>
      <c r="E9" s="43" t="inlineStr">
        <is>
          <t>CHF</t>
        </is>
      </c>
      <c r="F9" s="56" t="n">
        <v>0.93</v>
      </c>
      <c r="G9" s="1" t="n"/>
      <c r="H9" s="1" t="n"/>
      <c r="I9" s="1" t="n"/>
      <c r="J9" s="61" t="inlineStr">
        <is>
          <t>Approval buffer = days the client needs to sign off before you can order.</t>
        </is>
      </c>
      <c r="K9" s="1" t="n"/>
      <c r="L9" s="1" t="n"/>
      <c r="M9" s="1" t="n"/>
    </row>
    <row r="10">
      <c r="A10" s="55" t="inlineStr">
        <is>
          <t>Delivered</t>
        </is>
      </c>
      <c r="B10" s="1" t="n"/>
      <c r="C10" s="4" t="inlineStr">
        <is>
          <t>Items in these statuses are never Late or At risk. Status names are fixed because the Risk formula uses them.</t>
        </is>
      </c>
      <c r="D10" s="1" t="n"/>
      <c r="E10" s="43" t="n"/>
      <c r="F10" s="56" t="n"/>
      <c r="G10" s="1" t="n"/>
      <c r="H10" s="1" t="n"/>
      <c r="I10" s="1" t="n"/>
      <c r="J10" s="1" t="n"/>
      <c r="K10" s="1" t="n"/>
      <c r="L10" s="1" t="n"/>
      <c r="M10" s="1" t="n"/>
    </row>
    <row r="11">
      <c r="A11" s="55" t="inlineStr">
        <is>
          <t>Installed</t>
        </is>
      </c>
      <c r="B11" s="1" t="n"/>
      <c r="D11" s="1" t="n"/>
      <c r="E11" s="43" t="n"/>
      <c r="F11" s="56" t="n"/>
      <c r="G11" s="1" t="n"/>
      <c r="H11" s="1" t="n"/>
      <c r="I11" s="1" t="n"/>
      <c r="J11" s="1" t="n"/>
      <c r="K11" s="1" t="n"/>
      <c r="L11" s="1" t="n"/>
      <c r="M11" s="1" t="n"/>
    </row>
    <row r="12">
      <c r="A12" s="55" t="inlineStr">
        <is>
          <t>On hold</t>
        </is>
      </c>
      <c r="B12" s="1" t="n"/>
      <c r="D12" s="1" t="n"/>
      <c r="E12" s="43" t="n"/>
      <c r="F12" s="56" t="n"/>
      <c r="G12" s="1" t="n"/>
      <c r="H12" s="1" t="n"/>
      <c r="I12" s="1" t="n"/>
      <c r="J12" s="1" t="n"/>
      <c r="K12" s="1" t="n"/>
      <c r="L12" s="1" t="n"/>
      <c r="M12" s="1" t="n"/>
    </row>
    <row r="13">
      <c r="A13" s="55" t="inlineStr">
        <is>
          <t>Out of stock</t>
        </is>
      </c>
      <c r="B13" s="1" t="n"/>
      <c r="D13" s="1" t="n"/>
      <c r="E13" s="43" t="n"/>
      <c r="F13" s="56" t="n"/>
      <c r="G13" s="1" t="n"/>
      <c r="H13" s="1" t="n"/>
      <c r="I13" s="1" t="n"/>
      <c r="J13" s="1" t="n"/>
      <c r="K13" s="1" t="n"/>
      <c r="L13" s="1" t="n"/>
      <c r="M13" s="1" t="n"/>
    </row>
    <row r="14">
      <c r="A14" s="1" t="n"/>
      <c r="B14" s="1" t="n"/>
      <c r="C14" s="1" t="n"/>
      <c r="D14" s="1" t="n"/>
      <c r="E14" s="17" t="inlineStr">
        <is>
          <t>Rate date</t>
        </is>
      </c>
      <c r="F14" s="62" t="n"/>
      <c r="G14" s="1" t="n"/>
      <c r="H14" s="1" t="n"/>
      <c r="I14" s="1" t="n"/>
      <c r="J14" s="1" t="n"/>
      <c r="K14" s="1" t="n"/>
      <c r="L14" s="1" t="n"/>
      <c r="M14" s="1" t="n"/>
    </row>
    <row r="15">
      <c r="A15" s="1" t="n"/>
      <c r="B15" s="1" t="n"/>
      <c r="C15" s="1" t="n"/>
      <c r="D15" s="1" t="n"/>
      <c r="E15" s="63" t="inlineStr">
        <is>
          <t>Example rates only. Replace them with today's rates before you rely on the GBP columns. Add currencies in the empty rows.</t>
        </is>
      </c>
      <c r="H15" s="1" t="n"/>
      <c r="I15" s="1" t="n"/>
      <c r="J15" s="1" t="n"/>
      <c r="K15" s="1" t="n"/>
      <c r="L15" s="1" t="n"/>
      <c r="M15" s="1" t="n"/>
    </row>
    <row r="16">
      <c r="A16" s="1" t="n"/>
      <c r="B16" s="1" t="n"/>
      <c r="C16" s="1" t="n"/>
      <c r="D16" s="1" t="n"/>
      <c r="H16" s="1" t="n"/>
      <c r="I16" s="1" t="n"/>
      <c r="J16" s="1" t="n"/>
      <c r="K16" s="1" t="n"/>
      <c r="L16" s="1" t="n"/>
      <c r="M16" s="1" t="n"/>
    </row>
    <row r="17">
      <c r="A17" s="1" t="n"/>
      <c r="B17" s="1" t="n"/>
      <c r="C17" s="1" t="n"/>
      <c r="D17" s="1" t="n"/>
      <c r="H17" s="1" t="n"/>
      <c r="I17" s="1" t="n"/>
      <c r="J17" s="1" t="n"/>
      <c r="K17" s="1" t="n"/>
      <c r="L17" s="1" t="n"/>
      <c r="M17" s="1" t="n"/>
    </row>
    <row r="18">
      <c r="A18" s="1" t="n"/>
      <c r="B18" s="1" t="n"/>
      <c r="C18" s="1" t="n"/>
      <c r="D18" s="1" t="n"/>
      <c r="E18" s="1" t="n"/>
      <c r="F18" s="1" t="n"/>
      <c r="G18" s="1" t="n"/>
      <c r="H18" s="1" t="n"/>
      <c r="I18" s="1" t="n"/>
      <c r="J18" s="1" t="n"/>
      <c r="K18" s="1" t="n"/>
      <c r="L18" s="1" t="n"/>
      <c r="M18" s="1" t="n"/>
    </row>
    <row r="19">
      <c r="A19" s="1" t="n"/>
      <c r="B19" s="1" t="n"/>
      <c r="C19" s="1" t="n"/>
      <c r="D19" s="1" t="n"/>
      <c r="E19" s="1" t="n"/>
      <c r="F19" s="1" t="n"/>
      <c r="G19" s="1" t="n"/>
      <c r="H19" s="1" t="n"/>
      <c r="I19" s="1" t="n"/>
      <c r="J19" s="1" t="n"/>
      <c r="K19" s="1" t="n"/>
      <c r="L19" s="1" t="n"/>
      <c r="M19" s="1" t="n"/>
    </row>
    <row r="20">
      <c r="A20" s="1" t="n"/>
      <c r="B20" s="1" t="n"/>
      <c r="C20" s="1" t="n"/>
      <c r="D20" s="1" t="n"/>
      <c r="E20" s="1" t="n"/>
      <c r="F20" s="1" t="n"/>
      <c r="G20" s="1" t="n"/>
      <c r="H20" s="1" t="n"/>
      <c r="I20" s="1" t="n"/>
      <c r="J20" s="1" t="n"/>
      <c r="K20" s="1" t="n"/>
      <c r="L20" s="1" t="n"/>
      <c r="M20" s="1" t="n"/>
    </row>
    <row r="21">
      <c r="A21" s="1" t="n"/>
      <c r="B21" s="1" t="n"/>
      <c r="C21" s="1" t="n"/>
      <c r="D21" s="1" t="n"/>
      <c r="E21" s="1" t="n"/>
      <c r="F21" s="1" t="n"/>
      <c r="G21" s="1" t="n"/>
      <c r="H21" s="1" t="n"/>
      <c r="I21" s="1" t="n"/>
      <c r="J21" s="1" t="n"/>
      <c r="K21" s="1" t="n"/>
      <c r="L21" s="1" t="n"/>
      <c r="M21" s="1" t="n"/>
    </row>
    <row r="22">
      <c r="A22" s="1" t="n"/>
      <c r="B22" s="1" t="n"/>
      <c r="C22" s="1" t="n"/>
      <c r="D22" s="1" t="n"/>
      <c r="E22" s="1" t="n"/>
      <c r="F22" s="1" t="n"/>
      <c r="G22" s="1" t="n"/>
      <c r="H22" s="1" t="n"/>
      <c r="I22" s="1" t="n"/>
      <c r="J22" s="1" t="n"/>
      <c r="K22" s="1" t="n"/>
      <c r="L22" s="1" t="n"/>
      <c r="M22" s="1" t="n"/>
    </row>
    <row r="23">
      <c r="A23" s="1" t="n"/>
      <c r="B23" s="1" t="n"/>
      <c r="C23" s="1" t="n"/>
      <c r="D23" s="1" t="n"/>
      <c r="E23" s="1" t="n"/>
      <c r="F23" s="1" t="n"/>
      <c r="G23" s="1" t="n"/>
      <c r="H23" s="1" t="n"/>
      <c r="I23" s="1" t="n"/>
      <c r="J23" s="1" t="n"/>
      <c r="K23" s="1" t="n"/>
      <c r="L23" s="1" t="n"/>
      <c r="M23" s="1" t="n"/>
    </row>
    <row r="24">
      <c r="A24" s="1" t="n"/>
      <c r="B24" s="1" t="n"/>
      <c r="C24" s="1" t="n"/>
      <c r="D24" s="1" t="n"/>
      <c r="E24" s="1" t="n"/>
      <c r="F24" s="1" t="n"/>
      <c r="G24" s="1" t="n"/>
      <c r="H24" s="1" t="n"/>
      <c r="I24" s="1" t="n"/>
      <c r="J24" s="1" t="n"/>
      <c r="K24" s="1" t="n"/>
      <c r="L24" s="1" t="n"/>
      <c r="M24" s="1" t="n"/>
    </row>
    <row r="25">
      <c r="A25" s="1" t="n"/>
      <c r="B25" s="1" t="n"/>
      <c r="C25" s="1" t="n"/>
      <c r="D25" s="1" t="n"/>
      <c r="E25" s="1" t="n"/>
      <c r="F25" s="1" t="n"/>
      <c r="G25" s="1" t="n"/>
      <c r="H25" s="1" t="n"/>
      <c r="I25" s="1" t="n"/>
      <c r="J25" s="1" t="n"/>
      <c r="K25" s="1" t="n"/>
      <c r="L25" s="1" t="n"/>
      <c r="M25" s="1" t="n"/>
    </row>
    <row r="26">
      <c r="A26" s="1" t="n"/>
      <c r="B26" s="1" t="n"/>
      <c r="C26" s="1" t="n"/>
      <c r="D26" s="1" t="n"/>
      <c r="E26" s="1" t="n"/>
      <c r="F26" s="1" t="n"/>
      <c r="G26" s="1" t="n"/>
      <c r="H26" s="1" t="n"/>
      <c r="I26" s="1" t="n"/>
      <c r="J26" s="1" t="n"/>
      <c r="K26" s="1" t="n"/>
      <c r="L26" s="1" t="n"/>
      <c r="M26" s="1" t="n"/>
    </row>
    <row r="27">
      <c r="A27" s="1" t="n"/>
      <c r="B27" s="1" t="n"/>
      <c r="C27" s="1" t="n"/>
      <c r="D27" s="1" t="n"/>
      <c r="E27" s="1" t="n"/>
      <c r="F27" s="1" t="n"/>
      <c r="G27" s="1" t="n"/>
      <c r="H27" s="1" t="n"/>
      <c r="I27" s="1" t="n"/>
      <c r="J27" s="1" t="n"/>
      <c r="K27" s="1" t="n"/>
      <c r="L27" s="1" t="n"/>
      <c r="M27" s="1" t="n"/>
    </row>
    <row r="28">
      <c r="A28" s="1" t="n"/>
      <c r="B28" s="1" t="n"/>
      <c r="C28" s="1" t="n"/>
      <c r="D28" s="1" t="n"/>
      <c r="E28" s="1" t="n"/>
      <c r="F28" s="1" t="n"/>
      <c r="G28" s="1" t="n"/>
      <c r="H28" s="1" t="n"/>
      <c r="I28" s="1" t="n"/>
      <c r="J28" s="1" t="n"/>
      <c r="K28" s="1" t="n"/>
      <c r="L28" s="1" t="n"/>
      <c r="M28" s="1" t="n"/>
    </row>
    <row r="29">
      <c r="A29" s="1" t="n"/>
      <c r="B29" s="1" t="n"/>
      <c r="C29" s="1" t="n"/>
      <c r="D29" s="1" t="n"/>
      <c r="E29" s="1" t="n"/>
      <c r="F29" s="1" t="n"/>
      <c r="G29" s="1" t="n"/>
      <c r="H29" s="1" t="n"/>
      <c r="I29" s="1" t="n"/>
      <c r="J29" s="1" t="n"/>
      <c r="K29" s="1" t="n"/>
      <c r="L29" s="1" t="n"/>
      <c r="M29" s="1" t="n"/>
    </row>
    <row r="30">
      <c r="A30" s="1" t="n"/>
      <c r="B30" s="1" t="n"/>
      <c r="C30" s="1" t="n"/>
      <c r="D30" s="1" t="n"/>
      <c r="E30" s="1" t="n"/>
      <c r="F30" s="1" t="n"/>
      <c r="G30" s="1" t="n"/>
      <c r="H30" s="1" t="n"/>
      <c r="I30" s="1" t="n"/>
      <c r="J30" s="1" t="n"/>
      <c r="K30" s="1" t="n"/>
      <c r="L30" s="1" t="n"/>
      <c r="M30" s="1" t="n"/>
    </row>
  </sheetData>
  <sheetProtection selectLockedCells="0" selectUnlockedCells="0" sheet="1" objects="0" insertRows="1" insertHyperlinks="1" autoFilter="1" scenarios="0" formatColumns="0" deleteColumns="1" insertColumns="1" pivotTables="1" deleteRows="1" formatCells="1" formatRows="1" sort="1"/>
  <mergeCells count="2">
    <mergeCell ref="C10:C13"/>
    <mergeCell ref="E15:G17"/>
  </mergeCells>
  <pageMargins left="0.75" right="0.75" top="1" bottom="1" header="0.5" footer="0.5"/>
  <headerFooter>
    <oddHeader/>
    <oddFooter>&amp;L&amp;8 Made by Techstyles · techstyles.ai&amp;R&amp;8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Techstyles</dc:creator>
  <dc:title>FF&amp;E schedule template</dc:title>
  <dc:description>Free template from Techstyles (techstyles.ai)</dc:description>
  <dc:subject>FF&amp;E schedule with order-by dates and procurement risk</dc:subject>
  <dcterms:created xsi:type="dcterms:W3CDTF">2026-10-21T09:34:33Z</dcterms:created>
  <dcterms:modified xsi:type="dcterms:W3CDTF">2026-10-21T09:34:33Z</dcterms:modified>
  <cp:lastModifiedBy>Techstyles</cp:lastModifiedBy>
  <cp:keywords>FF&amp;E schedule, interior design, procurement, lead times</cp:keywords>
</cp:coreProperties>
</file>